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37" lockStructure="1"/>
  <bookViews>
    <workbookView xWindow="480" yWindow="60" windowWidth="27795" windowHeight="12090" firstSheet="2" activeTab="4"/>
  </bookViews>
  <sheets>
    <sheet name="Данные" sheetId="4" state="hidden" r:id="rId1"/>
    <sheet name="ГХ" sheetId="5" state="hidden" r:id="rId2"/>
    <sheet name="1" sheetId="1" r:id="rId3"/>
    <sheet name="2" sheetId="2" r:id="rId4"/>
    <sheet name="3" sheetId="3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</sheets>
  <definedNames>
    <definedName name="B">'3'!$C$23</definedName>
    <definedName name="H">'3'!$C$17</definedName>
    <definedName name="артикул_МП40">МП40_ГХ[Артикул]</definedName>
    <definedName name="Город">ГОРОД_ВР[Город]</definedName>
    <definedName name="импосты_МП50">импосты_МП50_ГХ[Артикул]</definedName>
    <definedName name="импосты_МП640">импосты_МП640_ГХ[Артикул]</definedName>
    <definedName name="импосты_МП640v2">импосты_МП640v2_ГХ[Артикул]</definedName>
    <definedName name="_xlnm.Print_Area" localSheetId="2">'1'!$A$1:$N$37</definedName>
    <definedName name="_xlnm.Print_Area" localSheetId="11">'10'!$A$1:$N$32</definedName>
    <definedName name="_xlnm.Print_Area" localSheetId="3">'2'!$A$1:$L$26</definedName>
    <definedName name="_xlnm.Print_Area" localSheetId="4">'3'!$A$1:$M$34</definedName>
    <definedName name="_xlnm.Print_Area" localSheetId="5">'4'!$A$1:$P$33</definedName>
    <definedName name="_xlnm.Print_Area" localSheetId="6">'5'!$A$1:$P$34</definedName>
    <definedName name="_xlnm.Print_Area" localSheetId="7">'6'!$A$1:$M$33</definedName>
    <definedName name="_xlnm.Print_Area" localSheetId="8">'7'!$A$1:$N$29</definedName>
    <definedName name="_xlnm.Print_Area" localSheetId="9">'8'!$A$1:$M$31</definedName>
    <definedName name="_xlnm.Print_Area" localSheetId="10">'9'!$A$1:$N$30</definedName>
    <definedName name="ригели_МП50">ригели_МП50_ГХ[Артикул]</definedName>
    <definedName name="ригели_МП640">ригели_МП640_ГХ[Артикул]</definedName>
    <definedName name="ригели_МП640v2">ригели_МП640v2_ГХ[Артикул]</definedName>
    <definedName name="серии">система[система]</definedName>
    <definedName name="стойки_МП50">стойки_МП50_ГХ[Артикул]</definedName>
    <definedName name="стойки_МП640">стойки_МП640_ГХ[Артикул]</definedName>
    <definedName name="стойки_МП640v2">стойки_МП640v2_ГХ[Артикул]</definedName>
    <definedName name="тип_конструкции">Данные!$I$2:$I$4</definedName>
    <definedName name="тип_местности">Данные!$E$14:$G$14</definedName>
    <definedName name="участок_стены">Данные!$I$21:$I$22</definedName>
  </definedNames>
  <calcPr calcId="145621"/>
</workbook>
</file>

<file path=xl/calcChain.xml><?xml version="1.0" encoding="utf-8"?>
<calcChain xmlns="http://schemas.openxmlformats.org/spreadsheetml/2006/main">
  <c r="D4" i="12" l="1"/>
  <c r="E14" i="3"/>
  <c r="E22" i="3" l="1"/>
  <c r="D12" i="11" l="1"/>
  <c r="D9" i="11"/>
  <c r="D12" i="9" l="1"/>
  <c r="D13" i="8" l="1"/>
  <c r="D14" i="9"/>
  <c r="D3" i="12" l="1"/>
  <c r="K22" i="3"/>
  <c r="J22" i="3"/>
  <c r="I22" i="3"/>
  <c r="D17" i="10" s="1"/>
  <c r="H22" i="3"/>
  <c r="G22" i="3"/>
  <c r="F22" i="3"/>
  <c r="D16" i="10"/>
  <c r="I14" i="3"/>
  <c r="H14" i="3"/>
  <c r="G14" i="3"/>
  <c r="F14" i="3"/>
  <c r="D16" i="3" l="1"/>
  <c r="D19" i="10" l="1"/>
  <c r="D28" i="10"/>
  <c r="D7" i="12"/>
  <c r="D7" i="8"/>
  <c r="D6" i="8"/>
  <c r="D17" i="9"/>
  <c r="D27" i="10" l="1"/>
  <c r="D14" i="11"/>
  <c r="K25" i="2" l="1"/>
  <c r="D15" i="9"/>
  <c r="D14" i="8"/>
  <c r="E27" i="6" l="1"/>
  <c r="D11" i="10"/>
  <c r="D27" i="6" l="1"/>
  <c r="D29" i="6" l="1"/>
  <c r="D28" i="6"/>
  <c r="H5" i="7" l="1"/>
  <c r="M28" i="9"/>
  <c r="O32" i="6"/>
  <c r="L33" i="3"/>
  <c r="D8" i="12" l="1"/>
  <c r="D9" i="12" s="1"/>
  <c r="D10" i="12"/>
  <c r="D26" i="10"/>
  <c r="M31" i="12"/>
  <c r="D5" i="12"/>
  <c r="F17" i="12" s="1"/>
  <c r="F22" i="11"/>
  <c r="M29" i="11"/>
  <c r="D11" i="11"/>
  <c r="D16" i="12" l="1"/>
  <c r="D13" i="12"/>
  <c r="D15" i="12"/>
  <c r="D24" i="10"/>
  <c r="D25" i="10" s="1"/>
  <c r="D23" i="10" s="1"/>
  <c r="D12" i="10"/>
  <c r="L30" i="10"/>
  <c r="D19" i="9"/>
  <c r="F27" i="9" l="1"/>
  <c r="D17" i="12"/>
  <c r="L18" i="12" s="1"/>
  <c r="E17" i="12" l="1"/>
  <c r="H17" i="12"/>
  <c r="G23" i="3" s="1"/>
  <c r="D17" i="8" l="1"/>
  <c r="L32" i="8"/>
  <c r="D15" i="7"/>
  <c r="H31" i="7" s="1"/>
  <c r="D20" i="7" l="1"/>
  <c r="H32" i="7" s="1"/>
  <c r="O33" i="7"/>
  <c r="D15" i="11" l="1"/>
  <c r="D18" i="9"/>
  <c r="D26" i="9" s="1"/>
  <c r="D15" i="10"/>
  <c r="D18" i="8"/>
  <c r="D23" i="6"/>
  <c r="D18" i="6"/>
  <c r="D14" i="6"/>
  <c r="D13" i="6"/>
  <c r="D11" i="6"/>
  <c r="D12" i="6"/>
  <c r="G6" i="7" l="1"/>
  <c r="G5" i="7"/>
  <c r="E29" i="6"/>
  <c r="E28" i="6"/>
  <c r="D15" i="6"/>
  <c r="D19" i="6"/>
  <c r="D7" i="6"/>
  <c r="D8" i="6" s="1"/>
  <c r="E6" i="7" l="1"/>
  <c r="E5" i="7"/>
  <c r="F6" i="7"/>
  <c r="F5" i="7"/>
  <c r="H6" i="7"/>
  <c r="F8" i="6"/>
  <c r="D5" i="7" l="1"/>
  <c r="D6" i="7"/>
  <c r="I5" i="7"/>
  <c r="D31" i="7" s="1"/>
  <c r="D13" i="9" s="1"/>
  <c r="D24" i="9" s="1"/>
  <c r="I6" i="7"/>
  <c r="D11" i="7" l="1"/>
  <c r="D32" i="7" s="1"/>
  <c r="D12" i="7"/>
  <c r="D10" i="10" s="1"/>
  <c r="D14" i="10" s="1"/>
  <c r="D10" i="11"/>
  <c r="D20" i="11" s="1"/>
  <c r="D25" i="9" l="1"/>
  <c r="D27" i="9" s="1"/>
  <c r="L28" i="9" s="1"/>
  <c r="D22" i="11"/>
  <c r="L23" i="11" s="1"/>
  <c r="D12" i="8"/>
  <c r="D11" i="8" s="1"/>
  <c r="D9" i="10"/>
  <c r="L6" i="1"/>
  <c r="D16" i="8" l="1"/>
  <c r="D21" i="8" s="1"/>
  <c r="E21" i="8" s="1"/>
  <c r="E22" i="11"/>
  <c r="H22" i="11"/>
  <c r="E23" i="3" s="1"/>
  <c r="E27" i="9"/>
  <c r="H27" i="9"/>
  <c r="E15" i="3" s="1"/>
  <c r="D29" i="10"/>
  <c r="K30" i="10" s="1"/>
  <c r="D20" i="8" l="1"/>
  <c r="G29" i="10"/>
  <c r="F23" i="3" s="1"/>
  <c r="E29" i="10"/>
  <c r="G21" i="8" l="1"/>
  <c r="F15" i="3" s="1"/>
  <c r="K22" i="8"/>
  <c r="B25" i="12" l="1"/>
</calcChain>
</file>

<file path=xl/comments1.xml><?xml version="1.0" encoding="utf-8"?>
<comments xmlns="http://schemas.openxmlformats.org/spreadsheetml/2006/main">
  <authors>
    <author>Алмас Ф. Муллануров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А - открытые побережья морей, озер и водохранилищ, сельские местности, в том числе с постройками высотой менее 10 м, пустыни, степи, лесостепи, тундра;
В - городские территории, лесные массивы и другие местности, равномерно покрытые препятствиями высотой более 10 м;
С - городские районы с плотной застройкой зданиями высотой более 25 м.</t>
        </r>
      </text>
    </comment>
    <comment ref="C20" author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" authorId="0">
      <text>
        <r>
          <rPr>
            <sz val="9"/>
            <color indexed="81"/>
            <rFont val="Tahoma"/>
            <family val="2"/>
            <charset val="204"/>
          </rPr>
          <t>8.2.6 Нормативные значения горизонтальных нагрузок на поручни перил лестниц и балконов следует принимать:
а) для жилых зданий, дошкольных организаций, домов отдыха, санаториев, больниц и других лечебных учреждений - 0,5 кН/м;
б) для трибун и спортивных залов - 1,5 кН/м;
в) для других зданий и помещений - 0,8 кН/м или по заданию на проектирование;
г) для обслуживающих площадок, мостиков, ограждений крыш, предназначенных для непродолжительного пребывания людей, нормативное значение горизонтальной нагрузки на поручни перил следует принимать 0,3 кН/м, если по заданию на проектирование на основании технологических решений не требуется большее значение нагрузки.</t>
        </r>
      </text>
    </comment>
  </commentList>
</comments>
</file>

<file path=xl/sharedStrings.xml><?xml version="1.0" encoding="utf-8"?>
<sst xmlns="http://schemas.openxmlformats.org/spreadsheetml/2006/main" count="1338" uniqueCount="729">
  <si>
    <t>Контактное лицо</t>
  </si>
  <si>
    <t>Телефон</t>
  </si>
  <si>
    <t>E-mail</t>
  </si>
  <si>
    <t>Дата</t>
  </si>
  <si>
    <t>Статический расчет светопрозрачных конструкций</t>
  </si>
  <si>
    <t>Подразделение</t>
  </si>
  <si>
    <t>Проект</t>
  </si>
  <si>
    <t>Конструкция</t>
  </si>
  <si>
    <t>Система</t>
  </si>
  <si>
    <t>Заказчик</t>
  </si>
  <si>
    <t>Город</t>
  </si>
  <si>
    <t>Ветровой Район</t>
  </si>
  <si>
    <t>Ангарск</t>
  </si>
  <si>
    <t>Арзамас</t>
  </si>
  <si>
    <t>Артем</t>
  </si>
  <si>
    <t>Архангельск</t>
  </si>
  <si>
    <t>Астана, Казахстан</t>
  </si>
  <si>
    <t>Астрахань</t>
  </si>
  <si>
    <t>Ачинск</t>
  </si>
  <si>
    <t>Балаково</t>
  </si>
  <si>
    <t>Балашиха</t>
  </si>
  <si>
    <t>Барнаул</t>
  </si>
  <si>
    <t>Батайск</t>
  </si>
  <si>
    <t>Белгород</t>
  </si>
  <si>
    <t>Бийск</t>
  </si>
  <si>
    <t>Благовещенск</t>
  </si>
  <si>
    <t>Братск</t>
  </si>
  <si>
    <t>Брянск</t>
  </si>
  <si>
    <t>Великие Луки</t>
  </si>
  <si>
    <t>Великий Новгород</t>
  </si>
  <si>
    <t>Владивосток</t>
  </si>
  <si>
    <t>Владимир</t>
  </si>
  <si>
    <t>Владикавказ</t>
  </si>
  <si>
    <t>Волгоград</t>
  </si>
  <si>
    <t>Волжский (Волгоградская обл.)</t>
  </si>
  <si>
    <t>Волжский (Самарская обл.)</t>
  </si>
  <si>
    <t>Волгодонск</t>
  </si>
  <si>
    <t>Вологда</t>
  </si>
  <si>
    <t>Воронеж</t>
  </si>
  <si>
    <t>Грозный</t>
  </si>
  <si>
    <t>Дербент</t>
  </si>
  <si>
    <t>Дзержинск</t>
  </si>
  <si>
    <t>Димитровград</t>
  </si>
  <si>
    <t>Екатеринбург</t>
  </si>
  <si>
    <t>Елец</t>
  </si>
  <si>
    <t>Железнодорожный</t>
  </si>
  <si>
    <t>Жуковский</t>
  </si>
  <si>
    <t>Златоуст</t>
  </si>
  <si>
    <t>Иваново</t>
  </si>
  <si>
    <t>Ижевск</t>
  </si>
  <si>
    <t>Йошкар-Ола</t>
  </si>
  <si>
    <t>Иркутск</t>
  </si>
  <si>
    <t>Казань</t>
  </si>
  <si>
    <t>Калининград</t>
  </si>
  <si>
    <t>Каменск-Уральский</t>
  </si>
  <si>
    <t>Калуга</t>
  </si>
  <si>
    <t>Камышин</t>
  </si>
  <si>
    <t>Кемерово</t>
  </si>
  <si>
    <t>Киров</t>
  </si>
  <si>
    <t>Киселевск</t>
  </si>
  <si>
    <t>Ковров</t>
  </si>
  <si>
    <t>Коломна</t>
  </si>
  <si>
    <t>Комсомольск-на-Амуре</t>
  </si>
  <si>
    <t>Копейск</t>
  </si>
  <si>
    <t>Кострома</t>
  </si>
  <si>
    <t>Красногорск</t>
  </si>
  <si>
    <t>Краснодар</t>
  </si>
  <si>
    <t>Красноярск</t>
  </si>
  <si>
    <t>Курган</t>
  </si>
  <si>
    <t>Курск</t>
  </si>
  <si>
    <t>Кызыл</t>
  </si>
  <si>
    <t>Ленинск-Кузнецкий</t>
  </si>
  <si>
    <t>Липецк</t>
  </si>
  <si>
    <t>Люберцы</t>
  </si>
  <si>
    <t>Магадан</t>
  </si>
  <si>
    <t>Магнитогорск</t>
  </si>
  <si>
    <t>Майкоп</t>
  </si>
  <si>
    <t>Махачкала</t>
  </si>
  <si>
    <t>Миасс</t>
  </si>
  <si>
    <t>Москва</t>
  </si>
  <si>
    <t>Мурманск</t>
  </si>
  <si>
    <t>Муром</t>
  </si>
  <si>
    <t>Мытищи</t>
  </si>
  <si>
    <t>Набережные Челны</t>
  </si>
  <si>
    <t>Находка</t>
  </si>
  <si>
    <t>Невинномысск</t>
  </si>
  <si>
    <t>Нефтекамск</t>
  </si>
  <si>
    <t>Нефтеюганск</t>
  </si>
  <si>
    <t>Нижневартовск</t>
  </si>
  <si>
    <t>Нижнекамск</t>
  </si>
  <si>
    <t>Нижний Новгород</t>
  </si>
  <si>
    <t>Нижний Тагил</t>
  </si>
  <si>
    <t>Новокузнецк</t>
  </si>
  <si>
    <t>Новокуйбышевск</t>
  </si>
  <si>
    <t>Новомосковск</t>
  </si>
  <si>
    <t>Новороссийск</t>
  </si>
  <si>
    <t>Новосибирск</t>
  </si>
  <si>
    <t>Новочебоксарск</t>
  </si>
  <si>
    <t>Новочеркасск</t>
  </si>
  <si>
    <t>Новошахтинск</t>
  </si>
  <si>
    <t>Новый Уренгой</t>
  </si>
  <si>
    <t>Ногинск</t>
  </si>
  <si>
    <t>Норильск</t>
  </si>
  <si>
    <t>Ноябрьск</t>
  </si>
  <si>
    <t>Обниск</t>
  </si>
  <si>
    <t>Одинцово</t>
  </si>
  <si>
    <t>Омск</t>
  </si>
  <si>
    <t>Орёл</t>
  </si>
  <si>
    <t>Оренбург</t>
  </si>
  <si>
    <t>Орехово-Зуево</t>
  </si>
  <si>
    <t>Орск</t>
  </si>
  <si>
    <t>Пенза</t>
  </si>
  <si>
    <t>Первоуральск</t>
  </si>
  <si>
    <t>Пермь</t>
  </si>
  <si>
    <t>Петрозаводск</t>
  </si>
  <si>
    <t>Петропавловск-Камчатский</t>
  </si>
  <si>
    <t>Подольск</t>
  </si>
  <si>
    <t>Прокопьевск</t>
  </si>
  <si>
    <t>Псков</t>
  </si>
  <si>
    <t>Ростов-на-Дону</t>
  </si>
  <si>
    <t>Рубцовск</t>
  </si>
  <si>
    <t>Рыбинск</t>
  </si>
  <si>
    <t>Рязань</t>
  </si>
  <si>
    <t>Салават</t>
  </si>
  <si>
    <t>Самара</t>
  </si>
  <si>
    <t>Санкт-Петербург</t>
  </si>
  <si>
    <t>Саранск</t>
  </si>
  <si>
    <t>Саратов</t>
  </si>
  <si>
    <t>Севастополь</t>
  </si>
  <si>
    <t>Северодвинск</t>
  </si>
  <si>
    <t>Серпухов</t>
  </si>
  <si>
    <t>Симферополь</t>
  </si>
  <si>
    <t>Смоленск</t>
  </si>
  <si>
    <t>Сочи</t>
  </si>
  <si>
    <t>Ставрополь</t>
  </si>
  <si>
    <t>Старый Оскол</t>
  </si>
  <si>
    <t>Стерлитамак</t>
  </si>
  <si>
    <t>Сургут</t>
  </si>
  <si>
    <t>Сызрань</t>
  </si>
  <si>
    <t>Сыктывкар</t>
  </si>
  <si>
    <t>Таганрог</t>
  </si>
  <si>
    <t>Тамбов</t>
  </si>
  <si>
    <t>Тверь</t>
  </si>
  <si>
    <t>Тобольск</t>
  </si>
  <si>
    <t>Тольятти</t>
  </si>
  <si>
    <t>Томск</t>
  </si>
  <si>
    <t>Тула</t>
  </si>
  <si>
    <t>Тюмень</t>
  </si>
  <si>
    <t>Улан-Удэ</t>
  </si>
  <si>
    <t>Ульяновск</t>
  </si>
  <si>
    <t>Уссурийск</t>
  </si>
  <si>
    <t>Уфа</t>
  </si>
  <si>
    <t>Ухта</t>
  </si>
  <si>
    <t>Хабаровск</t>
  </si>
  <si>
    <t>Хасавюрт</t>
  </si>
  <si>
    <t>Химки</t>
  </si>
  <si>
    <t>Чебоксары</t>
  </si>
  <si>
    <t>Челябинск</t>
  </si>
  <si>
    <t>Чита</t>
  </si>
  <si>
    <t>Череповец</t>
  </si>
  <si>
    <t>Шахты</t>
  </si>
  <si>
    <t>Щелково</t>
  </si>
  <si>
    <t>Электросталь</t>
  </si>
  <si>
    <t>Энгельс</t>
  </si>
  <si>
    <t>Элиста</t>
  </si>
  <si>
    <t>Южно-Сахалинск</t>
  </si>
  <si>
    <t>Ярославль</t>
  </si>
  <si>
    <t>Якутск</t>
  </si>
  <si>
    <t>III</t>
  </si>
  <si>
    <t>II</t>
  </si>
  <si>
    <t>IV</t>
  </si>
  <si>
    <t>I</t>
  </si>
  <si>
    <t>V</t>
  </si>
  <si>
    <t>VI</t>
  </si>
  <si>
    <t>VII</t>
  </si>
  <si>
    <t>W0, кПа</t>
  </si>
  <si>
    <t>Ia</t>
  </si>
  <si>
    <t>Содержание</t>
  </si>
  <si>
    <t>Лист</t>
  </si>
  <si>
    <t>Наименование</t>
  </si>
  <si>
    <t>Примечания</t>
  </si>
  <si>
    <t>Ответственность и конфиденциальность</t>
  </si>
  <si>
    <t>Заявление об ограничении ответственности</t>
  </si>
  <si>
    <t>Расчеты, представленные в этом документе, являются предварительными и носят рекомендательный характер. АО «ТАТПРОФ» настоящим заявляет, что не несет какой-либо ответственности за точность или полноту представленных материалов и за все последствия их использования. Лица, использующие данные материалы, несут ответственность по произведенным ими работам, включая конструкторские, расчетные, строительные и иные работы  в соответствии с законодательством РФ, заключенными ими с контрагентами договорами,  правилами, стандартами, требованиями и иными нормативными актами, действующими на территории РФ.</t>
  </si>
  <si>
    <t>Ведомость прилагаемых документов</t>
  </si>
  <si>
    <t>Ведомость ссылочных документов</t>
  </si>
  <si>
    <t>Примечание</t>
  </si>
  <si>
    <t>СП 20.13330.2016 "Нагрузки и воздействия"</t>
  </si>
  <si>
    <t>СП 128.13330.2016 "Алюминиевые конструкции"</t>
  </si>
  <si>
    <t>СП 426.1325800.2020 "КОНСТРУКЦИИ ОГРАЖДАЮЩИЕ СВЕТОПРОЗРАЧНЫЕ ЗДАНИЙ И СООРУЖЕНИЙ. Правила проектирования"</t>
  </si>
  <si>
    <t>[1]</t>
  </si>
  <si>
    <t>[2]</t>
  </si>
  <si>
    <t>[3]</t>
  </si>
  <si>
    <t>Исходные данные</t>
  </si>
  <si>
    <t>Тип местности</t>
  </si>
  <si>
    <t>Объект:</t>
  </si>
  <si>
    <t>Конструкция:</t>
  </si>
  <si>
    <t>Стойка</t>
  </si>
  <si>
    <t>Схема закрепления</t>
  </si>
  <si>
    <t>тип стойки</t>
  </si>
  <si>
    <t>Размер здания, м</t>
  </si>
  <si>
    <t>Высота здания, м</t>
  </si>
  <si>
    <t>Суммарная толщина стекол в заполнении, мм</t>
  </si>
  <si>
    <t>Расстояние между точками закрепления, мм</t>
  </si>
  <si>
    <t>Пролет слева, мм</t>
  </si>
  <si>
    <t>Пролет справа, мм</t>
  </si>
  <si>
    <t>Ix, см4</t>
  </si>
  <si>
    <t>Wx, см3</t>
  </si>
  <si>
    <t>Iy, см4</t>
  </si>
  <si>
    <t>Wy, см3</t>
  </si>
  <si>
    <t>x, мм</t>
  </si>
  <si>
    <t>y, мм</t>
  </si>
  <si>
    <t>R, МПа</t>
  </si>
  <si>
    <t>Ригель</t>
  </si>
  <si>
    <t>Длина ригеля, мм</t>
  </si>
  <si>
    <t>Пролет сверху, мм</t>
  </si>
  <si>
    <t>Пролет снизу, мм</t>
  </si>
  <si>
    <t>Участок стены</t>
  </si>
  <si>
    <t>Перильная нагрузка</t>
  </si>
  <si>
    <t>Тип здания</t>
  </si>
  <si>
    <t>Приложить перильную нагрузку на ригель</t>
  </si>
  <si>
    <t>Табл. 11.1 СП 20.13330.2016</t>
  </si>
  <si>
    <t>Таблица 11.3 СП 20.13330.2016</t>
  </si>
  <si>
    <t>Параметр</t>
  </si>
  <si>
    <t>A</t>
  </si>
  <si>
    <t>B</t>
  </si>
  <si>
    <t>C</t>
  </si>
  <si>
    <t>α</t>
  </si>
  <si>
    <t>k10</t>
  </si>
  <si>
    <t>ζ10</t>
  </si>
  <si>
    <t>Высота расположения конструкции, м</t>
  </si>
  <si>
    <t>Участок</t>
  </si>
  <si>
    <t>Угловой (А)</t>
  </si>
  <si>
    <t>Рядовой (B)</t>
  </si>
  <si>
    <t>Ср-</t>
  </si>
  <si>
    <t>однопролётная</t>
  </si>
  <si>
    <t>Артикул</t>
  </si>
  <si>
    <t>выбрать</t>
  </si>
  <si>
    <t>ввести</t>
  </si>
  <si>
    <t>п. 11.1.6 [1]</t>
  </si>
  <si>
    <t>Тип стойки</t>
  </si>
  <si>
    <t>угловая</t>
  </si>
  <si>
    <t>рядовая</t>
  </si>
  <si>
    <t>перильная нагрузка по 8.2.6 СП 20.13330.2016</t>
  </si>
  <si>
    <t>тип здания</t>
  </si>
  <si>
    <t>перильная нагрузка P, кН/м</t>
  </si>
  <si>
    <t>а</t>
  </si>
  <si>
    <t>б</t>
  </si>
  <si>
    <t>в</t>
  </si>
  <si>
    <t>г</t>
  </si>
  <si>
    <t>приложение перильной нагрузки</t>
  </si>
  <si>
    <t>да</t>
  </si>
  <si>
    <t>нет</t>
  </si>
  <si>
    <t>Приложить перильную нагрузку на стойку</t>
  </si>
  <si>
    <t>по 8.2.6 [1]</t>
  </si>
  <si>
    <t>Сбор нагрузок</t>
  </si>
  <si>
    <t>1. Пиковая ветровая нагрузка</t>
  </si>
  <si>
    <t>по формуле 11.10 [1]</t>
  </si>
  <si>
    <t>1.1 Нормативное значение ветрового давления</t>
  </si>
  <si>
    <t>Ветровой район</t>
  </si>
  <si>
    <t>Ветровое давление</t>
  </si>
  <si>
    <t>п. 11.1.4 [1]</t>
  </si>
  <si>
    <t>1.2 Коэффициент изменения давления ветра k(ze)</t>
  </si>
  <si>
    <t>Эквивалентная высота Ze</t>
  </si>
  <si>
    <t>Коэффициент α</t>
  </si>
  <si>
    <t>1.3 Коэффициент пульсации давления ветра ζ(ze)</t>
  </si>
  <si>
    <t>Коэффициент ζ10</t>
  </si>
  <si>
    <t>1.4 Пиковый аэродинамический коэффициент Сp+(-), для прямоугольных в плане зданий</t>
  </si>
  <si>
    <t>Отрицательное значение Сp-</t>
  </si>
  <si>
    <t>Положительное значение Сp+</t>
  </si>
  <si>
    <t>1.5 Коэффициент корреляции ветровой нагрузки V+(-)</t>
  </si>
  <si>
    <t>Стойки</t>
  </si>
  <si>
    <t>Ригеля</t>
  </si>
  <si>
    <t>А, м2</t>
  </si>
  <si>
    <t>v+</t>
  </si>
  <si>
    <t>v-</t>
  </si>
  <si>
    <t>Таблица 11.8 СП 20.13330.2016</t>
  </si>
  <si>
    <t>Сp+(-)</t>
  </si>
  <si>
    <t>V+(-)</t>
  </si>
  <si>
    <t>кПа     =</t>
  </si>
  <si>
    <t>для стойки</t>
  </si>
  <si>
    <t>для ригеля</t>
  </si>
  <si>
    <t>по пункту 11.1.5 [1]</t>
  </si>
  <si>
    <r>
      <t>k</t>
    </r>
    <r>
      <rPr>
        <vertAlign val="subscript"/>
        <sz val="12"/>
        <color theme="1"/>
        <rFont val="ISOCPEUR"/>
        <family val="2"/>
        <charset val="204"/>
      </rPr>
      <t>10</t>
    </r>
  </si>
  <si>
    <r>
      <t>ξ</t>
    </r>
    <r>
      <rPr>
        <vertAlign val="subscript"/>
        <sz val="12"/>
        <color theme="1"/>
        <rFont val="ISOCPEUR"/>
        <family val="2"/>
        <charset val="204"/>
      </rPr>
      <t>10</t>
    </r>
  </si>
  <si>
    <r>
      <t>Коэффициент k</t>
    </r>
    <r>
      <rPr>
        <vertAlign val="subscript"/>
        <sz val="12"/>
        <color theme="1"/>
        <rFont val="ISOCPEUR"/>
        <family val="2"/>
        <charset val="204"/>
      </rPr>
      <t>10</t>
    </r>
    <r>
      <rPr>
        <sz val="12"/>
        <color theme="1"/>
        <rFont val="ISOCPEUR"/>
        <family val="2"/>
        <charset val="204"/>
      </rPr>
      <t>=</t>
    </r>
  </si>
  <si>
    <t>по таблице 11.3 [1]</t>
  </si>
  <si>
    <t>по В.1.17 а) [1]</t>
  </si>
  <si>
    <t>по табл. В.12 [1]</t>
  </si>
  <si>
    <t>А, м2 (грузовая площадь)</t>
  </si>
  <si>
    <t>Расчетное значение пиковой ветровой нагрузки принимается согласно п. 4.2 [1] и преамбуле раздела 11 [1]:</t>
  </si>
  <si>
    <r>
      <t>γ</t>
    </r>
    <r>
      <rPr>
        <vertAlign val="subscript"/>
        <sz val="12"/>
        <color theme="1"/>
        <rFont val="Calibri"/>
        <family val="2"/>
        <charset val="204"/>
      </rPr>
      <t xml:space="preserve">f </t>
    </r>
    <r>
      <rPr>
        <sz val="12"/>
        <color theme="1"/>
        <rFont val="Calibri"/>
        <family val="2"/>
        <charset val="204"/>
      </rPr>
      <t>=</t>
    </r>
  </si>
  <si>
    <r>
      <t>| W</t>
    </r>
    <r>
      <rPr>
        <vertAlign val="subscript"/>
        <sz val="12"/>
        <color theme="1"/>
        <rFont val="ISOCPEUR"/>
        <family val="2"/>
        <charset val="204"/>
      </rPr>
      <t>норм</t>
    </r>
    <r>
      <rPr>
        <sz val="12"/>
        <color theme="1"/>
        <rFont val="ISOCPEUR"/>
        <family val="2"/>
        <charset val="204"/>
      </rPr>
      <t>+(-) |=</t>
    </r>
  </si>
  <si>
    <t>| Wрасч+(-) |=</t>
  </si>
  <si>
    <t>2. Перильная нагрузка</t>
  </si>
  <si>
    <t>Н/мм по п. 8.2.6 СП.20.13330.2016</t>
  </si>
  <si>
    <r>
      <t>W</t>
    </r>
    <r>
      <rPr>
        <vertAlign val="subscript"/>
        <sz val="12"/>
        <color theme="1"/>
        <rFont val="ISOCPEUR"/>
        <family val="2"/>
        <charset val="204"/>
      </rPr>
      <t>0</t>
    </r>
  </si>
  <si>
    <r>
      <t>k(z</t>
    </r>
    <r>
      <rPr>
        <vertAlign val="subscript"/>
        <sz val="12"/>
        <color theme="1"/>
        <rFont val="ISOCPEUR"/>
        <family val="2"/>
        <charset val="204"/>
      </rPr>
      <t>e</t>
    </r>
    <r>
      <rPr>
        <sz val="12"/>
        <color theme="1"/>
        <rFont val="ISOCPEUR"/>
        <family val="2"/>
        <charset val="204"/>
      </rPr>
      <t>)</t>
    </r>
  </si>
  <si>
    <r>
      <t>[1+ζ(z</t>
    </r>
    <r>
      <rPr>
        <vertAlign val="subscript"/>
        <sz val="12"/>
        <color theme="1"/>
        <rFont val="ISOCPEUR"/>
        <family val="2"/>
        <charset val="204"/>
      </rPr>
      <t>e</t>
    </r>
    <r>
      <rPr>
        <sz val="12"/>
        <color theme="1"/>
        <rFont val="ISOCPEUR"/>
        <family val="2"/>
        <charset val="204"/>
      </rPr>
      <t>)]</t>
    </r>
  </si>
  <si>
    <t>Масса, кг/п.м.</t>
  </si>
  <si>
    <t>Расчет стойки</t>
  </si>
  <si>
    <t>1. Расчет стойки по I группе предельных состояний. Расчет на прочность от действия ветровой и перильной нагрузок</t>
  </si>
  <si>
    <t>Расчет стойки на прочность при действии момента в одной из главных плоскостей выполняется по формуле 17 п. 7.3.1 [3]:</t>
  </si>
  <si>
    <t>, где</t>
  </si>
  <si>
    <t>Расчетное сопротивление, R=</t>
  </si>
  <si>
    <t>МПа, согласно п. 6.1, СП 128.13330.2016</t>
  </si>
  <si>
    <r>
      <t>Момент сопротивления стойки W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 xml:space="preserve"> =</t>
    </r>
  </si>
  <si>
    <r>
      <t>см</t>
    </r>
    <r>
      <rPr>
        <vertAlign val="superscript"/>
        <sz val="12"/>
        <color theme="1"/>
        <rFont val="ISOCPEUR"/>
        <family val="2"/>
        <charset val="204"/>
      </rPr>
      <t>3</t>
    </r>
  </si>
  <si>
    <r>
      <t>Коэффициент условий работы, ƴ</t>
    </r>
    <r>
      <rPr>
        <vertAlign val="subscript"/>
        <sz val="12"/>
        <color theme="1"/>
        <rFont val="ISOCPEUR"/>
        <family val="2"/>
        <charset val="204"/>
      </rPr>
      <t>c</t>
    </r>
    <r>
      <rPr>
        <sz val="12"/>
        <color theme="1"/>
        <rFont val="ISOCPEUR"/>
        <family val="2"/>
        <charset val="204"/>
      </rPr>
      <t>=</t>
    </r>
  </si>
  <si>
    <t>по табл. 6, СП 128.13330.2016</t>
  </si>
  <si>
    <t>Изгибающий момент возникает от действия ветровой и перильной нагрузок:</t>
  </si>
  <si>
    <t>Без учета перильной нагрузки изгибающий момент рассчитывается по формуле:</t>
  </si>
  <si>
    <r>
      <t>Н/мм</t>
    </r>
    <r>
      <rPr>
        <vertAlign val="superscript"/>
        <sz val="12"/>
        <color theme="1"/>
        <rFont val="ISOCPEUR"/>
        <family val="2"/>
        <charset val="204"/>
      </rPr>
      <t>2</t>
    </r>
  </si>
  <si>
    <r>
      <t>Ширина нагрузки a</t>
    </r>
    <r>
      <rPr>
        <vertAlign val="subscript"/>
        <sz val="12"/>
        <color theme="1"/>
        <rFont val="ISOCPEUR"/>
        <family val="2"/>
        <charset val="204"/>
      </rPr>
      <t>ср</t>
    </r>
    <r>
      <rPr>
        <sz val="12"/>
        <color theme="1"/>
        <rFont val="ISOCPEUR"/>
        <family val="2"/>
        <charset val="204"/>
      </rPr>
      <t>=</t>
    </r>
  </si>
  <si>
    <t>мм</t>
  </si>
  <si>
    <t>Длина стойки H=</t>
  </si>
  <si>
    <t>Н*мм, где:</t>
  </si>
  <si>
    <t>С учетом перильной нагрузки изгибающий момент рассчитывается по формуле:</t>
  </si>
  <si>
    <t>Расчетная пиковая ветровая нагрузка w=</t>
  </si>
  <si>
    <t>Расстояние до перильной нагрузки b=</t>
  </si>
  <si>
    <t>расстояние от ближайшей опоры</t>
  </si>
  <si>
    <t>Точка приложения Перильной нагрузки, мм</t>
  </si>
  <si>
    <t>Перильная нагрузка P=</t>
  </si>
  <si>
    <t>Н/мм</t>
  </si>
  <si>
    <r>
      <t>W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 xml:space="preserve"> </t>
    </r>
    <r>
      <rPr>
        <sz val="12"/>
        <color theme="1"/>
        <rFont val="Symbol"/>
        <family val="1"/>
        <charset val="2"/>
      </rPr>
      <t>³</t>
    </r>
  </si>
  <si>
    <t>Минимально требуемый момент сопротивления стойки:</t>
  </si>
  <si>
    <t>Wx Min, см3</t>
  </si>
  <si>
    <r>
      <t>ψ</t>
    </r>
    <r>
      <rPr>
        <vertAlign val="subscript"/>
        <sz val="12"/>
        <color theme="1"/>
        <rFont val="ISOCPEUR"/>
        <family val="2"/>
        <charset val="204"/>
      </rPr>
      <t>t2</t>
    </r>
    <r>
      <rPr>
        <sz val="12"/>
        <color theme="1"/>
        <rFont val="ISOCPEUR"/>
        <family val="2"/>
        <charset val="204"/>
      </rPr>
      <t>=</t>
    </r>
  </si>
  <si>
    <r>
      <t>P</t>
    </r>
    <r>
      <rPr>
        <vertAlign val="subscript"/>
        <sz val="12"/>
        <color theme="1"/>
        <rFont val="ISOCPEUR"/>
        <family val="2"/>
        <charset val="204"/>
      </rPr>
      <t>норм</t>
    </r>
    <r>
      <rPr>
        <sz val="12"/>
        <color theme="1"/>
        <rFont val="ISOCPEUR"/>
        <family val="2"/>
        <charset val="204"/>
      </rPr>
      <t>=</t>
    </r>
  </si>
  <si>
    <t>Нормативное значение пиковой ветровой нагрузки:</t>
  </si>
  <si>
    <t>Нормативное значение перильной нагрузки, в зависимости от типа здания:</t>
  </si>
  <si>
    <t>Расчетное значение перильной нагрузки:</t>
  </si>
  <si>
    <t>согласно п. 8.2.7 [1]</t>
  </si>
  <si>
    <r>
      <t>P</t>
    </r>
    <r>
      <rPr>
        <vertAlign val="subscript"/>
        <sz val="12"/>
        <color theme="1"/>
        <rFont val="ISOCPEUR"/>
        <family val="2"/>
        <charset val="204"/>
      </rPr>
      <t>расч</t>
    </r>
    <r>
      <rPr>
        <sz val="12"/>
        <color theme="1"/>
        <rFont val="ISOCPEUR"/>
        <family val="2"/>
        <charset val="204"/>
      </rPr>
      <t>=</t>
    </r>
  </si>
  <si>
    <t>3. Сочетание ветровой и перильной нагрузок</t>
  </si>
  <si>
    <t>Согласно п. 6.4 [1]:</t>
  </si>
  <si>
    <r>
      <t>ψ</t>
    </r>
    <r>
      <rPr>
        <vertAlign val="subscript"/>
        <sz val="12"/>
        <color theme="1"/>
        <rFont val="ISOCPEUR"/>
        <family val="2"/>
        <charset val="204"/>
      </rPr>
      <t>t1</t>
    </r>
    <r>
      <rPr>
        <sz val="12"/>
        <color theme="1"/>
        <rFont val="ISOCPEUR"/>
        <family val="2"/>
        <charset val="204"/>
      </rPr>
      <t>=</t>
    </r>
  </si>
  <si>
    <t>2. Расчет стойки по I группе предельных состояний. Расчет на устойчивость от действия ветровой и перильной нагрузок</t>
  </si>
  <si>
    <t>Расчет стойки на устойчивость выполняется по формуле:</t>
  </si>
  <si>
    <t>результирующая критическая сила, вызывающая потерю устойчивости конструкции</t>
  </si>
  <si>
    <t>допустимая результирующая критическая сила, вызывающая потерю устойчивости конструкции</t>
  </si>
  <si>
    <r>
      <t>F</t>
    </r>
    <r>
      <rPr>
        <vertAlign val="subscript"/>
        <sz val="12"/>
        <color theme="1"/>
        <rFont val="ISOCPEUR"/>
        <family val="2"/>
        <charset val="204"/>
      </rPr>
      <t>кр</t>
    </r>
    <r>
      <rPr>
        <sz val="12"/>
        <color theme="1"/>
        <rFont val="ISOCPEUR"/>
        <family val="2"/>
        <charset val="204"/>
      </rPr>
      <t xml:space="preserve"> - </t>
    </r>
  </si>
  <si>
    <r>
      <t>[F</t>
    </r>
    <r>
      <rPr>
        <vertAlign val="subscript"/>
        <sz val="12"/>
        <color theme="1"/>
        <rFont val="ISOCPEUR"/>
        <family val="2"/>
        <charset val="204"/>
      </rPr>
      <t>кр</t>
    </r>
    <r>
      <rPr>
        <sz val="12"/>
        <color theme="1"/>
        <rFont val="ISOCPEUR"/>
        <family val="2"/>
        <charset val="204"/>
      </rPr>
      <t>]=</t>
    </r>
    <r>
      <rPr>
        <sz val="12"/>
        <color theme="1"/>
        <rFont val="Calibri"/>
        <family val="2"/>
        <charset val="204"/>
      </rPr>
      <t>γ</t>
    </r>
    <r>
      <rPr>
        <vertAlign val="subscript"/>
        <sz val="12"/>
        <color theme="1"/>
        <rFont val="ISOCPEUR"/>
        <family val="2"/>
        <charset val="204"/>
      </rPr>
      <t>кр</t>
    </r>
    <r>
      <rPr>
        <sz val="12"/>
        <color theme="1"/>
        <rFont val="ISOCPEUR"/>
        <family val="2"/>
        <charset val="204"/>
      </rPr>
      <t xml:space="preserve">*F=1.3F - </t>
    </r>
  </si>
  <si>
    <t>Расчет стойки на прогиб выполняется из условия:</t>
  </si>
  <si>
    <t>прогиб от ветровой нагрузки при однопролетной схеме закрепления</t>
  </si>
  <si>
    <t>прогиб от перильной нагрузки при однопролетной схеме закрепления</t>
  </si>
  <si>
    <r>
      <t>|W</t>
    </r>
    <r>
      <rPr>
        <vertAlign val="subscript"/>
        <sz val="12"/>
        <color theme="1"/>
        <rFont val="ISOCPEUR"/>
        <family val="2"/>
        <charset val="204"/>
      </rPr>
      <t>норм+(-)</t>
    </r>
    <r>
      <rPr>
        <sz val="12"/>
        <color theme="1"/>
        <rFont val="ISOCPEUR"/>
        <family val="2"/>
        <charset val="204"/>
      </rPr>
      <t>|=</t>
    </r>
  </si>
  <si>
    <r>
      <t>|W</t>
    </r>
    <r>
      <rPr>
        <vertAlign val="subscript"/>
        <sz val="12"/>
        <color theme="1"/>
        <rFont val="ISOCPEUR"/>
        <family val="2"/>
        <charset val="204"/>
      </rPr>
      <t>расч+(-)</t>
    </r>
    <r>
      <rPr>
        <sz val="12"/>
        <color theme="1"/>
        <rFont val="ISOCPEUR"/>
        <family val="2"/>
        <charset val="204"/>
      </rPr>
      <t>|=</t>
    </r>
  </si>
  <si>
    <t>Допустимый прогиб [f]=</t>
  </si>
  <si>
    <t>Нормативная пиковая ветровая нагрузка w=</t>
  </si>
  <si>
    <t>Модуль упругости алюминия E=</t>
  </si>
  <si>
    <t>Момент инерции стойки Ix=</t>
  </si>
  <si>
    <r>
      <t>см</t>
    </r>
    <r>
      <rPr>
        <vertAlign val="superscript"/>
        <sz val="12"/>
        <color theme="1"/>
        <rFont val="ISOCPEUR"/>
        <family val="2"/>
        <charset val="204"/>
      </rPr>
      <t>4</t>
    </r>
  </si>
  <si>
    <t>Выбор необходимой стойки осуществляется из ограничения на минимально допустимый момент инерции Ix:</t>
  </si>
  <si>
    <t>для однопролетной схемы</t>
  </si>
  <si>
    <t>Минимально требуемый момент инерции стойки:</t>
  </si>
  <si>
    <r>
      <rPr>
        <sz val="12"/>
        <color theme="1"/>
        <rFont val="ISOCPEUR"/>
        <family val="2"/>
        <charset val="204"/>
      </rPr>
      <t>I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>=</t>
    </r>
  </si>
  <si>
    <t>fфакт=</t>
  </si>
  <si>
    <r>
      <t>f</t>
    </r>
    <r>
      <rPr>
        <vertAlign val="subscript"/>
        <sz val="12"/>
        <color theme="1"/>
        <rFont val="ISOCPEUR"/>
        <family val="2"/>
        <charset val="204"/>
      </rPr>
      <t>w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</si>
  <si>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p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</si>
  <si>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факт</t>
    </r>
    <r>
      <rPr>
        <sz val="12"/>
        <color theme="1"/>
        <rFont val="ISOCPEUR"/>
        <family val="2"/>
        <charset val="204"/>
      </rPr>
      <t>=fw+fp - фактический прогиб от действия ветровой и перильной нагрузок, где:</t>
    </r>
  </si>
  <si>
    <t>Расчет ригеля</t>
  </si>
  <si>
    <t>1. Расчет ригеля по I группе предельных состояний. Расчет на прочность от действия ветровой, перильной нагрузок и веса заполнения</t>
  </si>
  <si>
    <t>, где:</t>
  </si>
  <si>
    <t>Длина ригеля B=</t>
  </si>
  <si>
    <t>Н*мм</t>
  </si>
  <si>
    <r>
      <t>Момент инерции ригеля (нетто) I</t>
    </r>
    <r>
      <rPr>
        <vertAlign val="subscript"/>
        <sz val="12"/>
        <color theme="1"/>
        <rFont val="ISOCPEUR"/>
        <family val="2"/>
        <charset val="204"/>
      </rPr>
      <t>xn</t>
    </r>
    <r>
      <rPr>
        <sz val="12"/>
        <color theme="1"/>
        <rFont val="ISOCPEUR"/>
        <family val="2"/>
        <charset val="204"/>
      </rPr>
      <t>=</t>
    </r>
  </si>
  <si>
    <r>
      <t>см</t>
    </r>
    <r>
      <rPr>
        <vertAlign val="superscript"/>
        <sz val="12"/>
        <color theme="1"/>
        <rFont val="ISOCPEUR"/>
        <family val="2"/>
        <charset val="204"/>
      </rPr>
      <t>4</t>
    </r>
    <r>
      <rPr>
        <sz val="12"/>
        <color theme="1"/>
        <rFont val="ISOCPEUR"/>
        <family val="2"/>
        <charset val="204"/>
      </rPr>
      <t>, принимается равным I</t>
    </r>
    <r>
      <rPr>
        <vertAlign val="subscript"/>
        <sz val="12"/>
        <color theme="1"/>
        <rFont val="ISOCPEUR"/>
        <family val="2"/>
        <charset val="204"/>
      </rPr>
      <t>x</t>
    </r>
    <r>
      <rPr>
        <sz val="12"/>
        <color theme="1"/>
        <rFont val="ISOCPEUR"/>
        <family val="2"/>
        <charset val="204"/>
      </rPr>
      <t>, так как в зоне макс. изгиба сечение ригеля не ослаблено</t>
    </r>
  </si>
  <si>
    <t>мм, расстояние от центра масс до края профиля по оси y-y</t>
  </si>
  <si>
    <t>y=</t>
  </si>
  <si>
    <t>Изгибающий момент по оси X возникает от действия действия ветровой и перильной нагрузок</t>
  </si>
  <si>
    <t>Изгибающий момент по оси Y возникает под воздействием нагрузок от заполнения:</t>
  </si>
  <si>
    <t>Нагрузка от заполнения Z=</t>
  </si>
  <si>
    <t>Нагрузка на 1 подкладку Q=</t>
  </si>
  <si>
    <t>Н</t>
  </si>
  <si>
    <t>Расстояние до оси подкладки c=</t>
  </si>
  <si>
    <t>мм, от края ригеля до центра подкладки</t>
  </si>
  <si>
    <r>
      <t>Момент инерции ригеля (нетто) I</t>
    </r>
    <r>
      <rPr>
        <vertAlign val="subscript"/>
        <sz val="12"/>
        <color theme="1"/>
        <rFont val="ISOCPEUR"/>
        <family val="2"/>
        <charset val="204"/>
      </rPr>
      <t>yn</t>
    </r>
    <r>
      <rPr>
        <sz val="12"/>
        <color theme="1"/>
        <rFont val="ISOCPEUR"/>
        <family val="2"/>
        <charset val="204"/>
      </rPr>
      <t>=</t>
    </r>
  </si>
  <si>
    <r>
      <t>см</t>
    </r>
    <r>
      <rPr>
        <vertAlign val="superscript"/>
        <sz val="12"/>
        <color theme="1"/>
        <rFont val="ISOCPEUR"/>
        <family val="2"/>
        <charset val="204"/>
      </rPr>
      <t>4</t>
    </r>
    <r>
      <rPr>
        <sz val="12"/>
        <color theme="1"/>
        <rFont val="ISOCPEUR"/>
        <family val="2"/>
        <charset val="204"/>
      </rPr>
      <t>, принимается равным Iy, так как в зоне макс. изгиба сечение ригеля не ослаблено</t>
    </r>
  </si>
  <si>
    <t>x=</t>
  </si>
  <si>
    <t>Расчет ригеля на прогиб выполняется из условия:</t>
  </si>
  <si>
    <r>
      <t>Н/мм</t>
    </r>
    <r>
      <rPr>
        <vertAlign val="superscript"/>
        <sz val="12"/>
        <color theme="1"/>
        <rFont val="ISOCPEUR"/>
        <family val="2"/>
        <charset val="204"/>
      </rPr>
      <t>2</t>
    </r>
    <r>
      <rPr>
        <sz val="12"/>
        <color theme="1"/>
        <rFont val="ISOCPEUR"/>
        <family val="2"/>
        <charset val="204"/>
      </rPr>
      <t>, по Таблице Б1 Приложения Б [2]</t>
    </r>
  </si>
  <si>
    <t>Допустимый прогиб рядового ригеля</t>
  </si>
  <si>
    <t>Расстояние от края ригеля до оси подкладки</t>
  </si>
  <si>
    <t>L/200</t>
  </si>
  <si>
    <t>2. Расчет ригеля по II группе предельных состояний. Расчет на деформации от действия ветровой, перильной нагрузок</t>
  </si>
  <si>
    <t>прогиб от ветровой нагрузки</t>
  </si>
  <si>
    <t>прогиб от ветровой и перильной нагрузок</t>
  </si>
  <si>
    <t>Момент инерции ригеля Ix=</t>
  </si>
  <si>
    <t>Выбор необходимого ригеля осуществляется из ограничения на минимально допустимый момент инерции Ix:</t>
  </si>
  <si>
    <t>для ригеля без учета перильной нагрузки</t>
  </si>
  <si>
    <t>для ригеля с учетом перильной нагрузки</t>
  </si>
  <si>
    <t>Минимально требуемый момент инерции ригеля:</t>
  </si>
  <si>
    <t>3. Расчет ригеля по II группе предельных состояний. Расчет на деформации от собственного веса и веса заполнения</t>
  </si>
  <si>
    <t>прогиб от собственного веса</t>
  </si>
  <si>
    <t>прогиб от веса заполнения</t>
  </si>
  <si>
    <t>при 100 мм необходимо согласование со стекольной компанией</t>
  </si>
  <si>
    <t>мм, системное ограничение</t>
  </si>
  <si>
    <r>
      <t>f</t>
    </r>
    <r>
      <rPr>
        <vertAlign val="subscript"/>
        <sz val="12"/>
        <color theme="1"/>
        <rFont val="ISOCPEUR"/>
        <family val="2"/>
        <charset val="204"/>
      </rPr>
      <t>факт</t>
    </r>
    <r>
      <rPr>
        <sz val="12"/>
        <color theme="1"/>
        <rFont val="ISOCPEUR"/>
        <family val="2"/>
        <charset val="204"/>
      </rPr>
      <t>=</t>
    </r>
  </si>
  <si>
    <t>Погонный вес ригеля m=</t>
  </si>
  <si>
    <t>Момент инерции ригеля Iy=</t>
  </si>
  <si>
    <t>Выбор необходимого ригеля осуществляется из ограничения на минимально допустимый момент инерции Iy:</t>
  </si>
  <si>
    <r>
      <t>I</t>
    </r>
    <r>
      <rPr>
        <vertAlign val="subscript"/>
        <sz val="12"/>
        <color theme="1"/>
        <rFont val="ISOCPEUR"/>
        <family val="2"/>
        <charset val="204"/>
      </rPr>
      <t>y min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</si>
  <si>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Q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</si>
  <si>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m</t>
    </r>
    <r>
      <rPr>
        <sz val="12"/>
        <color theme="1"/>
        <rFont val="ISOCPEUR"/>
        <family val="2"/>
        <charset val="204"/>
      </rPr>
      <t>=</t>
    </r>
  </si>
  <si>
    <t>2. Расчет стойки по II группе предельных состояний. Расчет на деформации от действия ветровой и перильной нагрузок</t>
  </si>
  <si>
    <t>прогиб от ветровой нагрузки при двухпролетной схеме закрепления</t>
  </si>
  <si>
    <t>прогиб от перильной нагрузки при двухпролетной схеме закрепления</t>
  </si>
  <si>
    <t>для двухпролетной схемы</t>
  </si>
  <si>
    <t>минимальный размер здания в плане</t>
  </si>
  <si>
    <t>Длина стойки H, мм</t>
  </si>
  <si>
    <t>(на ригель перильная нагрузка прикладывается в случае отсутствия ограждений, когда витраж непосредственно воспринимает перильную нагрузку)</t>
  </si>
  <si>
    <t>&lt;</t>
  </si>
  <si>
    <t>&gt;</t>
  </si>
  <si>
    <t>Выводы</t>
  </si>
  <si>
    <t>Выполнены расчеты напряженно-деформированного состояния профилей под действием ветровой нагрузки, перильной нагрузки, собственного веса, веса заполнений. Определены максимальные возникающие моменты, перемещения в конструкции. Расчетные значения изгибающих моментов были сопоставлены с допустимыми с учетом коэффициентов надежности по [1].Расчетные значения перемещений были сопоставлены с допустимыми по [3].</t>
  </si>
  <si>
    <t>Расчет ригеля. Выводы</t>
  </si>
  <si>
    <t>по В.11.17 [1]</t>
  </si>
  <si>
    <t>коэффициент использования</t>
  </si>
  <si>
    <t>МП-64010</t>
  </si>
  <si>
    <t>МП-64010-01</t>
  </si>
  <si>
    <t>МП-64010-02</t>
  </si>
  <si>
    <t>МП-64011</t>
  </si>
  <si>
    <t>МП-64011-01</t>
  </si>
  <si>
    <t>МП-64011-02</t>
  </si>
  <si>
    <t>МП-64013</t>
  </si>
  <si>
    <t>МП-64014</t>
  </si>
  <si>
    <t>МП-64020</t>
  </si>
  <si>
    <t>МП-64020-02</t>
  </si>
  <si>
    <t>МП-64020-03</t>
  </si>
  <si>
    <t>МП-64021</t>
  </si>
  <si>
    <t>МП-64021-02</t>
  </si>
  <si>
    <t>МП-64021-03</t>
  </si>
  <si>
    <t>МП-64021-04</t>
  </si>
  <si>
    <t>МП-64022</t>
  </si>
  <si>
    <t>МП-64022-01</t>
  </si>
  <si>
    <t>МП-64022-02</t>
  </si>
  <si>
    <t>МП-64022-03</t>
  </si>
  <si>
    <t>МП-64022-04</t>
  </si>
  <si>
    <t>МП-64022-05</t>
  </si>
  <si>
    <t>МП-64023-01</t>
  </si>
  <si>
    <t>МП-64023-02</t>
  </si>
  <si>
    <t>МП-64023-03</t>
  </si>
  <si>
    <t>МП-64023-04</t>
  </si>
  <si>
    <t>МП-64023-05</t>
  </si>
  <si>
    <t>МП-64024</t>
  </si>
  <si>
    <t>МП-64024-01</t>
  </si>
  <si>
    <t>МП-64024-02</t>
  </si>
  <si>
    <t>МП-64024-03</t>
  </si>
  <si>
    <t>МП-64024-04</t>
  </si>
  <si>
    <t>МП-64025</t>
  </si>
  <si>
    <t>МП-64025-01</t>
  </si>
  <si>
    <t>МП-64027</t>
  </si>
  <si>
    <t>МП-64027-01</t>
  </si>
  <si>
    <t>МП-64028</t>
  </si>
  <si>
    <t>МП-64029</t>
  </si>
  <si>
    <t>МП-64042</t>
  </si>
  <si>
    <t>МП-64042-01</t>
  </si>
  <si>
    <t>МП-64042-02</t>
  </si>
  <si>
    <t>МП-64048</t>
  </si>
  <si>
    <t>МП-64070</t>
  </si>
  <si>
    <t>МП-64081</t>
  </si>
  <si>
    <t>МП-64082</t>
  </si>
  <si>
    <t>МП-64082-01</t>
  </si>
  <si>
    <t>МП-64082-02</t>
  </si>
  <si>
    <t>МП-64083</t>
  </si>
  <si>
    <t>МП-64083-01</t>
  </si>
  <si>
    <t>МП-64083-02</t>
  </si>
  <si>
    <t>МП-64084</t>
  </si>
  <si>
    <t>МП-64084-01</t>
  </si>
  <si>
    <t>МП-64084-02</t>
  </si>
  <si>
    <t>МП-64085</t>
  </si>
  <si>
    <t>МП-64086</t>
  </si>
  <si>
    <t>МП-64087</t>
  </si>
  <si>
    <t>МП-64090</t>
  </si>
  <si>
    <t>МП-64090-01</t>
  </si>
  <si>
    <t>МП-64090-02</t>
  </si>
  <si>
    <t>МП-64090-04</t>
  </si>
  <si>
    <t>МП-64091</t>
  </si>
  <si>
    <t>МП-64091-01</t>
  </si>
  <si>
    <t>МП-64091-02</t>
  </si>
  <si>
    <t>МП-64092</t>
  </si>
  <si>
    <t>МП-64092-02</t>
  </si>
  <si>
    <t>МП-640</t>
  </si>
  <si>
    <t>МП-64027-02</t>
  </si>
  <si>
    <t>Тип конструкции</t>
  </si>
  <si>
    <t>в проем</t>
  </si>
  <si>
    <t>в навес</t>
  </si>
  <si>
    <t>двухпролетная</t>
  </si>
  <si>
    <t>на парапет</t>
  </si>
  <si>
    <t>[4]</t>
  </si>
  <si>
    <t>[f] - допустимый прогиб, принимаемый по [4] для остекления в проем, а для навесного остекления по [3]:</t>
  </si>
  <si>
    <t>мм, Табл. 5 п. 4.1.17 [4], либо п. 5.3.5 [3]</t>
  </si>
  <si>
    <r>
      <t xml:space="preserve">
Конфиденциальность
</t>
    </r>
    <r>
      <rPr>
        <sz val="11"/>
        <color theme="1"/>
        <rFont val="ISOCPEUR"/>
        <family val="2"/>
        <charset val="204"/>
      </rPr>
      <t>Содержание данного документа является конфиденциальным и предназначено исключительно для указанного адресата. Копирование, распространение, публикация или другое использование содержания данного документа запрещены. Нарушение данного положения несет за собой обязанность нарушившей стороны  компенсировать АО «ТАТПРОФ» причиненные убытки.</t>
    </r>
  </si>
  <si>
    <r>
      <t>Н/мм</t>
    </r>
    <r>
      <rPr>
        <vertAlign val="superscript"/>
        <sz val="12"/>
        <color theme="1"/>
        <rFont val="ISOCPEUR"/>
        <family val="2"/>
        <charset val="204"/>
      </rPr>
      <t>2</t>
    </r>
    <r>
      <rPr>
        <sz val="12"/>
        <color theme="1"/>
        <rFont val="ISOCPEUR"/>
        <family val="2"/>
        <charset val="204"/>
      </rPr>
      <t>, табл. 11.1 [1]</t>
    </r>
  </si>
  <si>
    <t>м</t>
  </si>
  <si>
    <t>Согласно п. 6.1 [1] Расчет конструкций и оснований по предельным состояниям 1-й и 2-й групп следует выполнять с учетом неблагоприятных сочетаний нагрузок или соответствующих им усилий. Для ограждающей светопрозрачной конструкции наиболее неблагоприятным сочетанием нагрузок является сочетание отрицательной пиковой ветровой и перильной нагрузок. И ветровая, и перильная нагрузки являются кратковременными, соответственно формула 6.1 [1] принимает вид:</t>
  </si>
  <si>
    <t>Для учета нагрузки от веса заполнения принимаем сосредоточенную силу Q=Z/2, где Z - вес заполнения, который распределяется на 2 подкладки</t>
  </si>
  <si>
    <t>Расчет на прочность изгибаемых элементов при действии моментов в двух главных плоскостях (формула 19, п. 7.3.1 [2]) выполняется по условию:</t>
  </si>
  <si>
    <t>МП-4001</t>
  </si>
  <si>
    <t>МП-4002</t>
  </si>
  <si>
    <t>МП-4003</t>
  </si>
  <si>
    <t>МП-4004</t>
  </si>
  <si>
    <t>МП-4005</t>
  </si>
  <si>
    <t>МП-4006</t>
  </si>
  <si>
    <t>МП-4007</t>
  </si>
  <si>
    <t>МП-40</t>
  </si>
  <si>
    <t>система</t>
  </si>
  <si>
    <r>
      <t>Ix, см</t>
    </r>
    <r>
      <rPr>
        <vertAlign val="superscript"/>
        <sz val="12"/>
        <color theme="1"/>
        <rFont val="ISOCPEUR"/>
        <family val="2"/>
        <charset val="204"/>
      </rPr>
      <t>4</t>
    </r>
  </si>
  <si>
    <r>
      <t>Wx, см</t>
    </r>
    <r>
      <rPr>
        <vertAlign val="superscript"/>
        <sz val="12"/>
        <color theme="1"/>
        <rFont val="ISOCPEUR"/>
        <family val="2"/>
        <charset val="204"/>
      </rPr>
      <t>3</t>
    </r>
  </si>
  <si>
    <r>
      <t>Iy, см</t>
    </r>
    <r>
      <rPr>
        <vertAlign val="superscript"/>
        <sz val="12"/>
        <color theme="1"/>
        <rFont val="ISOCPEUR"/>
        <family val="2"/>
        <charset val="204"/>
      </rPr>
      <t>4</t>
    </r>
  </si>
  <si>
    <r>
      <t>Wy, см</t>
    </r>
    <r>
      <rPr>
        <vertAlign val="superscript"/>
        <sz val="12"/>
        <color theme="1"/>
        <rFont val="ISOCPEUR"/>
        <family val="2"/>
        <charset val="204"/>
      </rPr>
      <t>3</t>
    </r>
  </si>
  <si>
    <t>МП-640 стойки</t>
  </si>
  <si>
    <t>МП-640 импосты</t>
  </si>
  <si>
    <t>МП-640 ригели</t>
  </si>
  <si>
    <t>Вертикальный импост</t>
  </si>
  <si>
    <t>МП-640 v2 стойки</t>
  </si>
  <si>
    <t>МП-640101</t>
  </si>
  <si>
    <t>МП-640102</t>
  </si>
  <si>
    <t>МП-640103</t>
  </si>
  <si>
    <t>МП-640104</t>
  </si>
  <si>
    <t>МП-640111</t>
  </si>
  <si>
    <t>МП-640112</t>
  </si>
  <si>
    <t>МП-640113</t>
  </si>
  <si>
    <t>МП-640114</t>
  </si>
  <si>
    <t>МП-640115</t>
  </si>
  <si>
    <t>МП-640 v2.0</t>
  </si>
  <si>
    <t>МП-640105</t>
  </si>
  <si>
    <t>МП-640116</t>
  </si>
  <si>
    <t>МП-640 v2 импосты</t>
  </si>
  <si>
    <t>МП-640 v2 ригели</t>
  </si>
  <si>
    <t>МП-640 ригели раздвижки</t>
  </si>
  <si>
    <t>МПа, согласно п. 6.1, [2]</t>
  </si>
  <si>
    <t>по табл. 6, [2]</t>
  </si>
  <si>
    <t>МП-50</t>
  </si>
  <si>
    <t>МП-50/ТП-50300 стойки</t>
  </si>
  <si>
    <t>МП-5001/ЭК-5001</t>
  </si>
  <si>
    <t>МП-5001-01</t>
  </si>
  <si>
    <t>МП-5002/ЭК-5002</t>
  </si>
  <si>
    <t>МП-5005/ЭК-5005</t>
  </si>
  <si>
    <t>МП-5005-01</t>
  </si>
  <si>
    <t>МП-5006/ЭК-5006</t>
  </si>
  <si>
    <t>МП-5006-01</t>
  </si>
  <si>
    <t>МП-5016/ЭК-5016</t>
  </si>
  <si>
    <t>МП-5003/ЭК-5003</t>
  </si>
  <si>
    <t>МП-50/ТП-50300 импосты</t>
  </si>
  <si>
    <t>МП-50/ТП-50300 ригели</t>
  </si>
  <si>
    <t>тип ригеля</t>
  </si>
  <si>
    <t>нижний ригель (над проемом)</t>
  </si>
  <si>
    <t>рядовой (глухое остекление)</t>
  </si>
  <si>
    <t>Угол поворота по стойке α, °</t>
  </si>
  <si>
    <t>усиление закл. по всей длине</t>
  </si>
  <si>
    <t>МП-4001+МП-4051</t>
  </si>
  <si>
    <t>МП-4002+МП-4052</t>
  </si>
  <si>
    <t>МП-4003+МП-4053</t>
  </si>
  <si>
    <t>МП-4004+МП-4054</t>
  </si>
  <si>
    <t>МП-4005+МП-4055</t>
  </si>
  <si>
    <t>МП-4006+МП-4056</t>
  </si>
  <si>
    <t>МП-4007+МП-4057</t>
  </si>
  <si>
    <t>НЕ НАДО!</t>
  </si>
  <si>
    <t>МП-64023 как рядовая</t>
  </si>
  <si>
    <t>Ай-Петри</t>
  </si>
  <si>
    <t>Алешки</t>
  </si>
  <si>
    <t>Алушта</t>
  </si>
  <si>
    <t>Ангарский перевал</t>
  </si>
  <si>
    <t>Армянск</t>
  </si>
  <si>
    <t>Аскания-Нова</t>
  </si>
  <si>
    <t>Бахмут</t>
  </si>
  <si>
    <t>Бахчисарай</t>
  </si>
  <si>
    <t>Белицкое</t>
  </si>
  <si>
    <t>Белогорск</t>
  </si>
  <si>
    <t>Белозерское</t>
  </si>
  <si>
    <t>Бердянск</t>
  </si>
  <si>
    <t>Берислав</t>
  </si>
  <si>
    <t>Васильевка</t>
  </si>
  <si>
    <t>Вахрушево</t>
  </si>
  <si>
    <t>Владиславовка</t>
  </si>
  <si>
    <t>Волноваха</t>
  </si>
  <si>
    <t>Вольнянск</t>
  </si>
  <si>
    <t>Геническ</t>
  </si>
  <si>
    <t>Голая Пристань</t>
  </si>
  <si>
    <t>Горняк</t>
  </si>
  <si>
    <t>Горское</t>
  </si>
  <si>
    <t>Гуляй-поле</t>
  </si>
  <si>
    <t>Дебальцево</t>
  </si>
  <si>
    <t>Джанкой</t>
  </si>
  <si>
    <t>Днепрорудное</t>
  </si>
  <si>
    <t>Докучаевск</t>
  </si>
  <si>
    <t>Донецк</t>
  </si>
  <si>
    <t>Дружковка</t>
  </si>
  <si>
    <t>Евпатория</t>
  </si>
  <si>
    <t>Запорожье</t>
  </si>
  <si>
    <t>Зугрэс</t>
  </si>
  <si>
    <t>Ишунь</t>
  </si>
  <si>
    <t>Каменка-Днепровская</t>
  </si>
  <si>
    <t>Караби-Яйла</t>
  </si>
  <si>
    <t>Каховка</t>
  </si>
  <si>
    <t>Керчь</t>
  </si>
  <si>
    <t>Кипучее</t>
  </si>
  <si>
    <t>Кирилловка</t>
  </si>
  <si>
    <t>Кировское</t>
  </si>
  <si>
    <t>Красногвардейское</t>
  </si>
  <si>
    <t>Красноперекопск</t>
  </si>
  <si>
    <t>Красный Луч</t>
  </si>
  <si>
    <t>Ленино</t>
  </si>
  <si>
    <t>Лиман</t>
  </si>
  <si>
    <t>Луганск</t>
  </si>
  <si>
    <t>Мариуполь</t>
  </si>
  <si>
    <t>Мелитополь</t>
  </si>
  <si>
    <t>Молочанск</t>
  </si>
  <si>
    <t>Моспино</t>
  </si>
  <si>
    <t>Мысовое</t>
  </si>
  <si>
    <t>Нижнегорский</t>
  </si>
  <si>
    <t>Никитский сад</t>
  </si>
  <si>
    <t>Новая Каховка</t>
  </si>
  <si>
    <t>Новоазовск</t>
  </si>
  <si>
    <t>Новогродовка</t>
  </si>
  <si>
    <t>Опасное</t>
  </si>
  <si>
    <t>Орехов</t>
  </si>
  <si>
    <t>Первомайское</t>
  </si>
  <si>
    <t>Покровск</t>
  </si>
  <si>
    <t>Пологи</t>
  </si>
  <si>
    <t>Приморск</t>
  </si>
  <si>
    <t>Раздольное</t>
  </si>
  <si>
    <t>Ровеньки</t>
  </si>
  <si>
    <t>Саки</t>
  </si>
  <si>
    <t>Сватово</t>
  </si>
  <si>
    <t>Святогорск</t>
  </si>
  <si>
    <t>Северодонецк</t>
  </si>
  <si>
    <t>Скадовск</t>
  </si>
  <si>
    <t>Славянск</t>
  </si>
  <si>
    <t>Советский</t>
  </si>
  <si>
    <t>Старобельск</t>
  </si>
  <si>
    <t>Стерегущее</t>
  </si>
  <si>
    <t>Судак</t>
  </si>
  <si>
    <t>Суходольск</t>
  </si>
  <si>
    <t>Счастье</t>
  </si>
  <si>
    <t>Токмак</t>
  </si>
  <si>
    <t>Феодосия</t>
  </si>
  <si>
    <t>Херсон</t>
  </si>
  <si>
    <t>Часов Яр</t>
  </si>
  <si>
    <t>Черноморское</t>
  </si>
  <si>
    <t>Энергодар</t>
  </si>
  <si>
    <t>Ялта</t>
  </si>
  <si>
    <t>[f] - допустимый прогиб, равный H/200 для остекления в проем по [4], и H/200 для навесного остекления по [3]:</t>
  </si>
  <si>
    <t>мм, п. 5.5.3 [4], либо п. 5.3.5 [3]</t>
  </si>
  <si>
    <t>ГОСТ 23166-2024 "КОНСТРУКЦИИ ОКОННЫЕ И БАЛКОННЫЕ СВЕТОПРОЗРАЧНЫЕ ОГРАЖДАЮЩИЕ. Общие технические условия"</t>
  </si>
  <si>
    <t>МП-64023-06</t>
  </si>
  <si>
    <r>
      <t>100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</si>
  <si>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110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</si>
  <si>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120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</si>
  <si>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130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</si>
  <si>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140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</si>
  <si>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150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</si>
  <si>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160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</si>
  <si>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170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МП-402+МП-64042</t>
    </r>
  </si>
  <si>
    <r>
      <t>100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</si>
  <si>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110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</si>
  <si>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120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</si>
  <si>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130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</si>
  <si>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140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</si>
  <si>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150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</si>
  <si>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160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</si>
  <si>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170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МП-402-01+МП-64042</t>
    </r>
  </si>
  <si>
    <r>
      <t>5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МП-401+МП-64041</t>
    </r>
  </si>
  <si>
    <r>
      <t>5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МП-401+МП-64025</t>
    </r>
  </si>
  <si>
    <r>
      <t>5</t>
    </r>
    <r>
      <rPr>
        <sz val="12"/>
        <color theme="1"/>
        <rFont val="Calibri"/>
        <family val="2"/>
        <charset val="204"/>
      </rPr>
      <t>°</t>
    </r>
    <r>
      <rPr>
        <sz val="8.4"/>
        <color theme="1"/>
        <rFont val="ISOCPEUR"/>
        <family val="2"/>
        <charset val="204"/>
      </rPr>
      <t xml:space="preserve"> </t>
    </r>
    <r>
      <rPr>
        <sz val="12"/>
        <color theme="1"/>
        <rFont val="ISOCPEUR"/>
        <family val="2"/>
        <charset val="204"/>
      </rPr>
      <t>МП-401-01+МП-64041</t>
    </r>
  </si>
  <si>
    <t>100° МП-402+МП-64025</t>
  </si>
  <si>
    <t>110° МП-402+МП-64025</t>
  </si>
  <si>
    <t>120° МП-402+МП-64025</t>
  </si>
  <si>
    <t>130° МП-402+МП-64025</t>
  </si>
  <si>
    <t>140° МП-402+МП-64025</t>
  </si>
  <si>
    <t>150° МП-402+МП-64025</t>
  </si>
  <si>
    <t>160° МП-402+МП-64025</t>
  </si>
  <si>
    <t>170° МП-402+МП-64025</t>
  </si>
  <si>
    <t>100° МП-402-01+МП-64025</t>
  </si>
  <si>
    <t>110° МП-402-01+МП-64025</t>
  </si>
  <si>
    <t>120° МП-402-01+МП-64025</t>
  </si>
  <si>
    <t>130° МП-402-01+МП-64025</t>
  </si>
  <si>
    <t>140° МП-402-01+МП-64025</t>
  </si>
  <si>
    <t>150° МП-402-01+МП-64025</t>
  </si>
  <si>
    <t>160° МП-402-01+МП-64025</t>
  </si>
  <si>
    <t>170° МП-402-01+МП-64025</t>
  </si>
  <si>
    <t>МП-64021 усиленный</t>
  </si>
  <si>
    <t>МП-64022 усиленный</t>
  </si>
  <si>
    <t>МП-64028 усиленный</t>
  </si>
  <si>
    <t>МП-64029 усиленный</t>
  </si>
  <si>
    <t>МП-64085 усиленный</t>
  </si>
  <si>
    <t>МП-64086 усиленный</t>
  </si>
  <si>
    <t>+7 (8552) 77-85-80</t>
  </si>
  <si>
    <t>as@tatprof.ru</t>
  </si>
  <si>
    <t>МП-64023-01 как рядовая</t>
  </si>
  <si>
    <t>МП-64023-02 как рядовая</t>
  </si>
  <si>
    <t>МП-64023-03 как рядовая</t>
  </si>
  <si>
    <t>МП-64023-04 как рядовая</t>
  </si>
  <si>
    <t>МП-64023-05 как рядовая</t>
  </si>
  <si>
    <t>МП-64024-06</t>
  </si>
  <si>
    <t>МП-64024-07</t>
  </si>
  <si>
    <t>МП-64022-06</t>
  </si>
  <si>
    <t>МП-64028-01</t>
  </si>
  <si>
    <t>МП-64023-06 как рядовая</t>
  </si>
  <si>
    <t>МП-64010-03</t>
  </si>
  <si>
    <t>МП-64013-01</t>
  </si>
  <si>
    <t>МП-64014-01</t>
  </si>
  <si>
    <t>МП-64064</t>
  </si>
  <si>
    <t>МП-64064-01</t>
  </si>
  <si>
    <t>МП-64082-03</t>
  </si>
  <si>
    <t>МП-64090-02 + 64069-01</t>
  </si>
  <si>
    <t>МП-64090-01 + 64069-01</t>
  </si>
  <si>
    <t>МП-64090 + 64069-01</t>
  </si>
  <si>
    <t>МП-64090-04 + 64069-01</t>
  </si>
  <si>
    <t>МП-64090-01 + 64069</t>
  </si>
  <si>
    <t>МП-64090 + 64069</t>
  </si>
  <si>
    <t>МП-64090-02 + 64069</t>
  </si>
  <si>
    <t>МП-64090-04 + 64069</t>
  </si>
  <si>
    <t>МП-64044 + 64042</t>
  </si>
  <si>
    <t>МП-64044 + 64027</t>
  </si>
  <si>
    <t>МП-64023-06 усиленный</t>
  </si>
  <si>
    <t>Отсутствуют в новом каталоге</t>
  </si>
  <si>
    <t>Осваиваются</t>
  </si>
  <si>
    <t>МП-64024-05</t>
  </si>
  <si>
    <t>МП-64023</t>
  </si>
  <si>
    <t>МП-5001+МП-5013</t>
  </si>
  <si>
    <t>МП-5001-01+МП-5013</t>
  </si>
  <si>
    <t>МП-5002+МП-5013</t>
  </si>
  <si>
    <t>МП-5005+МП-5013</t>
  </si>
  <si>
    <t>МП-5005-01+МП-5013</t>
  </si>
  <si>
    <t>МП-5006+МП-5013</t>
  </si>
  <si>
    <t>МП-5006-01+МП-5013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</si>
</sst>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"/>
    <numFmt numFmtId="166" formatCode="0.00000"/>
    <numFmt numFmtId="167" formatCode="0.000000"/>
    <numFmt numFmtId="168" formatCode="0.000000000"/>
    <numFmt numFmtId="169" formatCode="0.000"/>
  </numFmts>
  <fonts count="2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ISOCPEUR"/>
      <family val="2"/>
      <charset val="204"/>
    </font>
    <font>
      <sz val="12"/>
      <color theme="1"/>
      <name val="ISOCPEUR"/>
      <family val="2"/>
      <charset val="204"/>
    </font>
    <font>
      <b/>
      <u/>
      <sz val="18"/>
      <color theme="1"/>
      <name val="ISOCPEUR"/>
      <family val="2"/>
      <charset val="204"/>
    </font>
    <font>
      <b/>
      <sz val="12"/>
      <color theme="1"/>
      <name val="ISOCPEUR"/>
      <family val="2"/>
      <charset val="204"/>
    </font>
    <font>
      <b/>
      <u/>
      <sz val="14"/>
      <color theme="1"/>
      <name val="ISOCPEUR"/>
      <family val="2"/>
      <charset val="204"/>
    </font>
    <font>
      <u/>
      <sz val="11"/>
      <color theme="1"/>
      <name val="ISOCPEUR"/>
      <family val="2"/>
      <charset val="204"/>
    </font>
    <font>
      <u/>
      <sz val="12"/>
      <color theme="1"/>
      <name val="ISOCPEUR"/>
      <family val="2"/>
      <charset val="204"/>
    </font>
    <font>
      <vertAlign val="subscript"/>
      <sz val="12"/>
      <color theme="1"/>
      <name val="ISOCPEUR"/>
      <family val="2"/>
      <charset val="204"/>
    </font>
    <font>
      <sz val="12"/>
      <color theme="1"/>
      <name val="Calibri"/>
      <family val="2"/>
      <charset val="204"/>
    </font>
    <font>
      <vertAlign val="subscript"/>
      <sz val="12"/>
      <color theme="1"/>
      <name val="Calibri"/>
      <family val="2"/>
      <charset val="204"/>
    </font>
    <font>
      <vertAlign val="superscript"/>
      <sz val="12"/>
      <color theme="1"/>
      <name val="ISOCPEUR"/>
      <family val="2"/>
      <charset val="204"/>
    </font>
    <font>
      <sz val="12"/>
      <color theme="1"/>
      <name val="Symbol"/>
      <family val="1"/>
      <charset val="2"/>
    </font>
    <font>
      <sz val="9"/>
      <color indexed="81"/>
      <name val="Tahoma"/>
      <family val="2"/>
      <charset val="204"/>
    </font>
    <font>
      <u/>
      <sz val="14"/>
      <color theme="1"/>
      <name val="ISOCPEUR"/>
      <family val="2"/>
      <charset val="204"/>
    </font>
    <font>
      <b/>
      <sz val="12"/>
      <name val="ISOCPEUR"/>
      <family val="2"/>
      <charset val="204"/>
    </font>
    <font>
      <sz val="12"/>
      <name val="ISOCPEUR"/>
      <family val="2"/>
      <charset val="204"/>
    </font>
    <font>
      <sz val="12"/>
      <color theme="0"/>
      <name val="ISOCPEUR"/>
      <family val="2"/>
      <charset val="204"/>
    </font>
    <font>
      <sz val="9"/>
      <color theme="1"/>
      <name val="ISOCPEUR"/>
      <family val="2"/>
      <charset val="204"/>
    </font>
    <font>
      <sz val="14"/>
      <color theme="1"/>
      <name val="ISOCPEUR"/>
      <family val="2"/>
      <charset val="204"/>
    </font>
    <font>
      <sz val="11"/>
      <name val="ISOCPEUR"/>
      <family val="2"/>
      <charset val="204"/>
    </font>
    <font>
      <sz val="12"/>
      <color theme="1"/>
      <name val="ISOCPEUR"/>
      <family val="2"/>
      <charset val="204"/>
    </font>
    <font>
      <sz val="11"/>
      <color theme="1"/>
      <name val="Calibri"/>
      <family val="2"/>
      <charset val="204"/>
      <scheme val="minor"/>
    </font>
    <font>
      <b/>
      <u/>
      <sz val="12"/>
      <color theme="1"/>
      <name val="ISOCPEUR"/>
      <family val="2"/>
      <charset val="204"/>
    </font>
    <font>
      <sz val="12"/>
      <color theme="1"/>
      <name val="ISOCPEUR"/>
      <family val="2"/>
      <charset val="204"/>
    </font>
    <font>
      <sz val="12"/>
      <color theme="1"/>
      <name val="ISOCPEUR"/>
    </font>
    <font>
      <sz val="8.4"/>
      <color theme="1"/>
      <name val="ISOCPEUR"/>
      <family val="2"/>
      <charset val="204"/>
    </font>
    <font>
      <sz val="12"/>
      <color rgb="FFFF0000"/>
      <name val="ISOCPEU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/>
    <xf numFmtId="2" fontId="3" fillId="2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164" fontId="3" fillId="0" borderId="7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 applyAlignment="1">
      <alignment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18" fillId="0" borderId="0" xfId="0" applyFont="1" applyFill="1" applyBorder="1" applyAlignment="1">
      <alignment horizontal="right"/>
    </xf>
    <xf numFmtId="0" fontId="21" fillId="0" borderId="0" xfId="0" applyFont="1" applyFill="1" applyBorder="1"/>
    <xf numFmtId="0" fontId="17" fillId="0" borderId="0" xfId="0" applyFont="1" applyFill="1" applyBorder="1"/>
    <xf numFmtId="0" fontId="22" fillId="0" borderId="0" xfId="0" applyFont="1"/>
    <xf numFmtId="0" fontId="18" fillId="3" borderId="7" xfId="0" applyFont="1" applyFill="1" applyBorder="1"/>
    <xf numFmtId="0" fontId="3" fillId="4" borderId="7" xfId="0" applyFont="1" applyFill="1" applyBorder="1"/>
    <xf numFmtId="169" fontId="2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69" fontId="3" fillId="0" borderId="0" xfId="0" applyNumberFormat="1" applyFont="1" applyFill="1" applyAlignment="1">
      <alignment horizontal="center" vertical="center"/>
    </xf>
    <xf numFmtId="2" fontId="22" fillId="0" borderId="0" xfId="0" applyNumberFormat="1" applyFont="1" applyFill="1" applyAlignment="1">
      <alignment horizontal="center" vertical="center"/>
    </xf>
    <xf numFmtId="169" fontId="22" fillId="0" borderId="0" xfId="0" applyNumberFormat="1" applyFont="1" applyFill="1" applyAlignment="1">
      <alignment horizontal="center" vertical="center"/>
    </xf>
    <xf numFmtId="9" fontId="3" fillId="0" borderId="0" xfId="2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 applyAlignment="1">
      <alignment horizontal="center"/>
    </xf>
    <xf numFmtId="2" fontId="3" fillId="0" borderId="0" xfId="0" applyNumberFormat="1" applyFont="1" applyFill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0" fontId="22" fillId="0" borderId="0" xfId="0" applyFont="1" applyFill="1"/>
    <xf numFmtId="2" fontId="3" fillId="0" borderId="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0" fontId="3" fillId="0" borderId="16" xfId="0" applyFont="1" applyBorder="1"/>
    <xf numFmtId="0" fontId="3" fillId="0" borderId="20" xfId="0" applyFont="1" applyBorder="1"/>
    <xf numFmtId="0" fontId="3" fillId="0" borderId="21" xfId="0" applyFont="1" applyBorder="1"/>
    <xf numFmtId="0" fontId="25" fillId="0" borderId="2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169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169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7" xfId="0" applyFont="1" applyBorder="1"/>
    <xf numFmtId="0" fontId="3" fillId="0" borderId="15" xfId="0" applyFont="1" applyBorder="1"/>
    <xf numFmtId="0" fontId="3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9" fontId="3" fillId="0" borderId="0" xfId="0" applyNumberFormat="1" applyFont="1" applyFill="1" applyAlignment="1">
      <alignment horizontal="center" vertical="center"/>
    </xf>
    <xf numFmtId="0" fontId="25" fillId="0" borderId="0" xfId="0" applyFont="1" applyFill="1"/>
    <xf numFmtId="2" fontId="25" fillId="0" borderId="0" xfId="0" applyNumberFormat="1" applyFont="1" applyFill="1" applyAlignment="1">
      <alignment horizontal="center" vertical="center"/>
    </xf>
    <xf numFmtId="169" fontId="25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3" fillId="0" borderId="7" xfId="0" applyFont="1" applyBorder="1" applyProtection="1">
      <protection hidden="1"/>
    </xf>
    <xf numFmtId="0" fontId="17" fillId="3" borderId="7" xfId="0" applyFont="1" applyFill="1" applyBorder="1" applyAlignment="1" applyProtection="1">
      <alignment horizontal="left" vertical="center"/>
      <protection hidden="1"/>
    </xf>
    <xf numFmtId="1" fontId="3" fillId="4" borderId="7" xfId="0" applyNumberFormat="1" applyFont="1" applyFill="1" applyBorder="1" applyAlignment="1" applyProtection="1">
      <alignment horizontal="left" vertical="center"/>
      <protection hidden="1"/>
    </xf>
    <xf numFmtId="0" fontId="24" fillId="0" borderId="11" xfId="0" applyFont="1" applyBorder="1" applyProtection="1">
      <protection hidden="1"/>
    </xf>
    <xf numFmtId="0" fontId="17" fillId="3" borderId="7" xfId="0" applyFont="1" applyFill="1" applyBorder="1" applyProtection="1">
      <protection hidden="1"/>
    </xf>
    <xf numFmtId="0" fontId="24" fillId="3" borderId="7" xfId="0" applyFont="1" applyFill="1" applyBorder="1" applyProtection="1">
      <protection hidden="1"/>
    </xf>
    <xf numFmtId="0" fontId="3" fillId="0" borderId="12" xfId="0" applyFont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Protection="1">
      <protection hidden="1"/>
    </xf>
    <xf numFmtId="2" fontId="3" fillId="0" borderId="7" xfId="0" applyNumberFormat="1" applyFont="1" applyBorder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17" fillId="3" borderId="7" xfId="0" applyFont="1" applyFill="1" applyBorder="1" applyAlignment="1" applyProtection="1">
      <alignment horizontal="left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0" fillId="0" borderId="0" xfId="0" applyBorder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horizontal="right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164" fontId="3" fillId="0" borderId="0" xfId="0" applyNumberFormat="1" applyFont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2" fontId="16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vertical="top"/>
      <protection hidden="1"/>
    </xf>
    <xf numFmtId="2" fontId="3" fillId="0" borderId="0" xfId="2" applyNumberFormat="1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/>
      <protection hidden="1"/>
    </xf>
    <xf numFmtId="165" fontId="3" fillId="0" borderId="0" xfId="0" applyNumberFormat="1" applyFont="1" applyAlignment="1" applyProtection="1">
      <alignment horizontal="center" vertical="center"/>
      <protection hidden="1"/>
    </xf>
    <xf numFmtId="167" fontId="3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top" wrapText="1"/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9" fontId="3" fillId="0" borderId="0" xfId="2" applyFont="1" applyAlignment="1" applyProtection="1">
      <alignment horizontal="left" vertical="center"/>
      <protection hidden="1"/>
    </xf>
    <xf numFmtId="0" fontId="17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2" fontId="3" fillId="0" borderId="0" xfId="0" applyNumberFormat="1" applyFont="1" applyAlignment="1" applyProtection="1">
      <alignment horizontal="left" vertical="center"/>
      <protection hidden="1"/>
    </xf>
    <xf numFmtId="168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top"/>
      <protection hidden="1"/>
    </xf>
    <xf numFmtId="2" fontId="5" fillId="0" borderId="0" xfId="0" applyNumberFormat="1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2" fontId="5" fillId="0" borderId="0" xfId="0" applyNumberFormat="1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7" xfId="0" applyFont="1" applyFill="1" applyBorder="1" applyAlignment="1" applyProtection="1">
      <alignment horizontal="center"/>
      <protection hidden="1"/>
    </xf>
    <xf numFmtId="166" fontId="5" fillId="0" borderId="7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right"/>
      <protection hidden="1"/>
    </xf>
    <xf numFmtId="167" fontId="5" fillId="0" borderId="0" xfId="0" applyNumberFormat="1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7" xfId="0" applyFont="1" applyBorder="1" applyAlignment="1" applyProtection="1">
      <alignment horizontal="right" vertical="center"/>
      <protection hidden="1"/>
    </xf>
    <xf numFmtId="166" fontId="5" fillId="0" borderId="7" xfId="0" applyNumberFormat="1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166" fontId="3" fillId="0" borderId="0" xfId="0" applyNumberFormat="1" applyFont="1" applyProtection="1"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166" fontId="5" fillId="0" borderId="0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Fill="1" applyProtection="1"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165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protection hidden="1"/>
    </xf>
    <xf numFmtId="0" fontId="3" fillId="0" borderId="8" xfId="0" applyFont="1" applyBorder="1" applyProtection="1">
      <protection hidden="1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15" xfId="0" applyFont="1" applyBorder="1" applyAlignment="1" applyProtection="1">
      <alignment horizontal="left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2" fontId="3" fillId="0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right" wrapText="1"/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25" fillId="0" borderId="0" xfId="0" applyFont="1" applyAlignment="1" applyProtection="1">
      <alignment wrapText="1"/>
      <protection hidden="1"/>
    </xf>
    <xf numFmtId="0" fontId="7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 vertical="center"/>
      <protection hidden="1"/>
    </xf>
    <xf numFmtId="49" fontId="2" fillId="0" borderId="0" xfId="0" applyNumberFormat="1" applyFont="1" applyAlignment="1" applyProtection="1">
      <alignment horizontal="left" vertical="center"/>
      <protection hidden="1"/>
    </xf>
    <xf numFmtId="14" fontId="2" fillId="0" borderId="0" xfId="0" applyNumberFormat="1" applyFont="1" applyAlignment="1" applyProtection="1">
      <alignment horizontal="left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3" fillId="5" borderId="0" xfId="0" applyFont="1" applyFill="1"/>
    <xf numFmtId="0" fontId="3" fillId="5" borderId="22" xfId="0" applyFont="1" applyFill="1" applyBorder="1"/>
    <xf numFmtId="0" fontId="22" fillId="5" borderId="0" xfId="0" applyFont="1" applyFill="1"/>
    <xf numFmtId="0" fontId="3" fillId="6" borderId="0" xfId="0" applyFont="1" applyFill="1"/>
    <xf numFmtId="0" fontId="3" fillId="6" borderId="22" xfId="0" applyFont="1" applyFill="1" applyBorder="1"/>
    <xf numFmtId="2" fontId="26" fillId="0" borderId="0" xfId="0" applyNumberFormat="1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3" fillId="0" borderId="7" xfId="0" applyFont="1" applyBorder="1" applyAlignment="1" applyProtection="1">
      <alignment horizontal="center" vertical="top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/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20" fillId="0" borderId="17" xfId="0" applyFont="1" applyBorder="1" applyAlignment="1" applyProtection="1">
      <alignment horizontal="center" vertical="center"/>
      <protection hidden="1"/>
    </xf>
    <xf numFmtId="0" fontId="20" fillId="0" borderId="18" xfId="0" applyFont="1" applyBorder="1" applyAlignment="1" applyProtection="1">
      <alignment horizontal="center" vertical="center"/>
      <protection hidden="1"/>
    </xf>
    <xf numFmtId="0" fontId="20" fillId="0" borderId="19" xfId="0" applyFont="1" applyBorder="1" applyAlignment="1" applyProtection="1">
      <alignment horizontal="center" vertical="center"/>
      <protection hidden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198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 patternType="solid"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protection locked="1" hidden="1"/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solid">
          <fgColor indexed="64"/>
          <bgColor theme="6" tint="0.3999755851924192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color theme="0"/>
      </font>
      <fill>
        <patternFill>
          <bgColor rgb="FF00148C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>
      <tableStyleElement type="wholeTable" dxfId="197"/>
      <tableStyleElement type="headerRow" dxfId="196"/>
      <tableStyleElement type="firstRowStripe" dxfId="195"/>
    </tableStyle>
  </tableStyles>
  <colors>
    <mruColors>
      <color rgb="FFFAA064"/>
      <color rgb="FFFFFFCC"/>
      <color rgb="FFCCECFF"/>
      <color rgb="FFF5DF4D"/>
      <color rgb="FF5A78FF"/>
      <color rgb="FF00148C"/>
      <color rgb="FFF67828"/>
      <color rgb="FF005387"/>
      <color rgb="FF939597"/>
      <color rgb="FF9595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636565</xdr:rowOff>
    </xdr:from>
    <xdr:to>
      <xdr:col>13</xdr:col>
      <xdr:colOff>176213</xdr:colOff>
      <xdr:row>36</xdr:row>
      <xdr:rowOff>369768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"/>
        <a:stretch/>
      </xdr:blipFill>
      <xdr:spPr>
        <a:xfrm>
          <a:off x="0" y="7408840"/>
          <a:ext cx="10625138" cy="380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259436</xdr:rowOff>
    </xdr:from>
    <xdr:to>
      <xdr:col>11</xdr:col>
      <xdr:colOff>161745</xdr:colOff>
      <xdr:row>25</xdr:row>
      <xdr:rowOff>372541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"/>
        <a:stretch/>
      </xdr:blipFill>
      <xdr:spPr>
        <a:xfrm>
          <a:off x="0" y="7390606"/>
          <a:ext cx="10653622" cy="3898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392540</xdr:rowOff>
    </xdr:from>
    <xdr:to>
      <xdr:col>13</xdr:col>
      <xdr:colOff>1817</xdr:colOff>
      <xdr:row>33</xdr:row>
      <xdr:rowOff>369861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393415"/>
          <a:ext cx="10618830" cy="3964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</xdr:row>
      <xdr:rowOff>9525</xdr:rowOff>
    </xdr:from>
    <xdr:ext cx="2846745" cy="3144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9525" y="457200"/>
              <a:ext cx="2846745" cy="314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2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0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𝑘</m:t>
                    </m:r>
                    <m:d>
                      <m:dPr>
                        <m:ctrlPr>
                          <a:rPr lang="en-US" sz="12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latin typeface="Cambria Math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[1+</m:t>
                    </m:r>
                    <m:r>
                      <a:rPr lang="el-GR" sz="1200" b="0" i="1">
                        <a:latin typeface="Cambria Math"/>
                      </a:rPr>
                      <m:t>𝜁</m:t>
                    </m:r>
                    <m:d>
                      <m:dPr>
                        <m:ctrlPr>
                          <a:rPr lang="el-GR" sz="12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l-GR" sz="12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latin typeface="Cambria Math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]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𝑐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𝑝</m:t>
                        </m:r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𝑣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9525" y="457200"/>
              <a:ext cx="2846745" cy="314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𝑤</a:t>
              </a:r>
              <a:r>
                <a:rPr lang="ru-RU" sz="1200" b="0" i="0">
                  <a:latin typeface="Cambria Math"/>
                </a:rPr>
                <a:t>_(</a:t>
              </a:r>
              <a:r>
                <a:rPr lang="en-US" sz="1200" b="0" i="0">
                  <a:latin typeface="Cambria Math"/>
                </a:rPr>
                <a:t>+(−)</a:t>
              </a:r>
              <a:r>
                <a:rPr lang="ru-RU" sz="1200" b="0" i="0">
                  <a:latin typeface="Cambria Math"/>
                </a:rPr>
                <a:t>)</a:t>
              </a:r>
              <a:r>
                <a:rPr lang="en-US" sz="1200" b="0" i="0">
                  <a:latin typeface="Cambria Math"/>
                </a:rPr>
                <a:t>=𝑤_0 𝑘(𝑧_𝑒 )[1+</a:t>
              </a:r>
              <a:r>
                <a:rPr lang="el-GR" sz="1200" b="0" i="0">
                  <a:latin typeface="Cambria Math"/>
                </a:rPr>
                <a:t>𝜁(</a:t>
              </a:r>
              <a:r>
                <a:rPr lang="en-US" sz="1200" b="0" i="0">
                  <a:latin typeface="Cambria Math"/>
                </a:rPr>
                <a:t>𝑧</a:t>
              </a:r>
              <a:r>
                <a:rPr lang="el-GR" sz="1200" b="0" i="0">
                  <a:latin typeface="Cambria Math"/>
                </a:rPr>
                <a:t>_</a:t>
              </a:r>
              <a:r>
                <a:rPr lang="en-US" sz="1200" b="0" i="0">
                  <a:latin typeface="Cambria Math"/>
                </a:rPr>
                <a:t>𝑒 )]𝑐_(𝑝+(−)) 𝑣_(+(−))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1</xdr:col>
      <xdr:colOff>638175</xdr:colOff>
      <xdr:row>13</xdr:row>
      <xdr:rowOff>257175</xdr:rowOff>
    </xdr:from>
    <xdr:ext cx="1828800" cy="2693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38175" y="2914650"/>
              <a:ext cx="1828800" cy="2693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𝑘</m:t>
                    </m:r>
                    <m:d>
                      <m:dPr>
                        <m:ctrlP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l-GR" sz="1200" b="0" i="1">
                            <a:latin typeface="Cambria Math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10</m:t>
                            </m:r>
                          </m:sub>
                        </m:sSub>
                        <m:d>
                          <m:dPr>
                            <m:ctrl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l-GR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𝑧</m:t>
                                </m:r>
                              </m:e>
                              <m:sub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𝑒</m:t>
                                </m:r>
                              </m:sub>
                            </m:s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/10</m:t>
                            </m:r>
                          </m:e>
                        </m:d>
                      </m:e>
                      <m:sup>
                        <m:r>
                          <a:rPr lang="en-US" sz="1200" b="0" i="1">
                            <a:latin typeface="Cambria Math"/>
                          </a:rPr>
                          <m:t>2</m:t>
                        </m:r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α</m:t>
                        </m:r>
                      </m:sup>
                    </m:sSup>
                    <m:r>
                      <a:rPr lang="en-US" sz="12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38175" y="2914650"/>
              <a:ext cx="1828800" cy="2693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𝑘(𝑧_𝑒 )</a:t>
              </a:r>
              <a:r>
                <a:rPr lang="en-US" sz="1200" b="0" i="0">
                  <a:latin typeface="Cambria Math"/>
                </a:rPr>
                <a:t>=</a:t>
              </a:r>
              <a:r>
                <a:rPr lang="el-GR" sz="1200" b="0" i="0">
                  <a:latin typeface="Cambria Math"/>
                </a:rPr>
                <a:t>〖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𝑘_10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(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𝑧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𝑒/10)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〗^</a:t>
              </a:r>
              <a:r>
                <a:rPr lang="en-US" sz="1200" b="0" i="0">
                  <a:latin typeface="Cambria Math"/>
                </a:rPr>
                <a:t>2</a:t>
              </a:r>
              <a:r>
                <a:rPr lang="el-GR" sz="1200" b="0" i="0">
                  <a:latin typeface="Cambria Math"/>
                </a:rPr>
                <a:t>α</a:t>
              </a:r>
              <a:r>
                <a:rPr lang="en-US" sz="1200" b="0" i="0">
                  <a:latin typeface="Cambria Math"/>
                </a:rPr>
                <a:t>=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1</xdr:col>
      <xdr:colOff>638175</xdr:colOff>
      <xdr:row>18</xdr:row>
      <xdr:rowOff>0</xdr:rowOff>
    </xdr:from>
    <xdr:ext cx="1638299" cy="2568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638175" y="3781425"/>
              <a:ext cx="1638299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2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ζ</m:t>
                    </m:r>
                    <m:d>
                      <m:dPr>
                        <m:ctrlP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l-GR" sz="1200" b="0" i="1">
                            <a:latin typeface="Cambria Math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m:rPr>
                                <m:sty m:val="p"/>
                              </m:r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ζ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10</m:t>
                            </m:r>
                          </m:sub>
                        </m:sSub>
                        <m:d>
                          <m:dPr>
                            <m:ctrl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l-GR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𝑧</m:t>
                                </m:r>
                              </m:e>
                              <m:sub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𝑒</m:t>
                                </m:r>
                              </m:sub>
                            </m:s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/10</m:t>
                            </m:r>
                          </m:e>
                        </m:d>
                      </m:e>
                      <m:sup>
                        <m:r>
                          <a:rPr lang="en-US" sz="1200" b="0" i="1">
                            <a:latin typeface="Cambria Math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α</m:t>
                        </m:r>
                      </m:sup>
                    </m:sSup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638175" y="3781425"/>
              <a:ext cx="1638299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ζ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(𝑧_𝑒 )</a:t>
              </a:r>
              <a:r>
                <a:rPr lang="en-US" sz="1200" b="0" i="0">
                  <a:latin typeface="Cambria Math"/>
                </a:rPr>
                <a:t>=</a:t>
              </a:r>
              <a:r>
                <a:rPr lang="el-GR" sz="1200" b="0" i="0">
                  <a:latin typeface="Cambria Math"/>
                </a:rPr>
                <a:t>〖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ζ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_10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(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𝑧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𝑒/10)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〗^(</a:t>
              </a:r>
              <a:r>
                <a:rPr lang="en-US" sz="1200" b="0" i="0">
                  <a:latin typeface="Cambria Math"/>
                </a:rPr>
                <a:t>−</a:t>
              </a:r>
              <a:r>
                <a:rPr lang="el-GR" sz="1200" b="0" i="0">
                  <a:latin typeface="Cambria Math"/>
                </a:rPr>
                <a:t>α)</a:t>
              </a:r>
              <a:endParaRPr lang="ru-RU" sz="1200" i="1"/>
            </a:p>
          </xdr:txBody>
        </xdr:sp>
      </mc:Fallback>
    </mc:AlternateContent>
    <xdr:clientData/>
  </xdr:oneCellAnchor>
  <xdr:twoCellAnchor editAs="oneCell">
    <xdr:from>
      <xdr:col>9</xdr:col>
      <xdr:colOff>18317</xdr:colOff>
      <xdr:row>15</xdr:row>
      <xdr:rowOff>27365</xdr:rowOff>
    </xdr:from>
    <xdr:to>
      <xdr:col>14</xdr:col>
      <xdr:colOff>915865</xdr:colOff>
      <xdr:row>25</xdr:row>
      <xdr:rowOff>35033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3740" y="3405077"/>
          <a:ext cx="3227510" cy="21764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655559</xdr:rowOff>
    </xdr:from>
    <xdr:to>
      <xdr:col>15</xdr:col>
      <xdr:colOff>171449</xdr:colOff>
      <xdr:row>33</xdr:row>
      <xdr:rowOff>2605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9"/>
        <a:stretch/>
      </xdr:blipFill>
      <xdr:spPr>
        <a:xfrm>
          <a:off x="0" y="7408784"/>
          <a:ext cx="10658474" cy="385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11504</xdr:colOff>
      <xdr:row>7</xdr:row>
      <xdr:rowOff>207214</xdr:rowOff>
    </xdr:from>
    <xdr:ext cx="1533524" cy="2456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669268" y="1634167"/>
              <a:ext cx="1533524" cy="2456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расч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норм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𝛾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𝑓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69268" y="1634167"/>
              <a:ext cx="1533524" cy="2456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𝑤_</a:t>
              </a:r>
              <a:r>
                <a:rPr lang="ru-RU" sz="1200" b="0" i="0">
                  <a:latin typeface="Cambria Math"/>
                </a:rPr>
                <a:t>расч</a:t>
              </a:r>
              <a:r>
                <a:rPr lang="en-US" sz="1200" b="0" i="0">
                  <a:latin typeface="Cambria Math"/>
                </a:rPr>
                <a:t>=𝑤_</a:t>
              </a:r>
              <a:r>
                <a:rPr lang="ru-RU" sz="1200" b="0" i="0">
                  <a:latin typeface="Cambria Math"/>
                </a:rPr>
                <a:t>норм</a:t>
              </a:r>
              <a:r>
                <a:rPr lang="en-US" sz="1200" b="0" i="0">
                  <a:latin typeface="Cambria Math"/>
                  <a:ea typeface="Cambria Math"/>
                </a:rPr>
                <a:t>∙𝛾_𝑓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2</xdr:col>
      <xdr:colOff>0</xdr:colOff>
      <xdr:row>17</xdr:row>
      <xdr:rowOff>0</xdr:rowOff>
    </xdr:from>
    <xdr:ext cx="1533524" cy="2568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57225" y="4762500"/>
              <a:ext cx="1533524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𝑃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расч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𝑃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норм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𝛾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𝑓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57225" y="4762500"/>
              <a:ext cx="1533524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𝑃_</a:t>
              </a:r>
              <a:r>
                <a:rPr lang="ru-RU" sz="1200" b="0" i="0">
                  <a:latin typeface="Cambria Math"/>
                </a:rPr>
                <a:t>расч</a:t>
              </a:r>
              <a:r>
                <a:rPr lang="en-US" sz="1200" b="0" i="0">
                  <a:latin typeface="Cambria Math"/>
                </a:rPr>
                <a:t>=𝑃_</a:t>
              </a:r>
              <a:r>
                <a:rPr lang="ru-RU" sz="1200" b="0" i="0">
                  <a:latin typeface="Cambria Math"/>
                </a:rPr>
                <a:t>норм</a:t>
              </a:r>
              <a:r>
                <a:rPr lang="en-US" sz="1200" b="0" i="0">
                  <a:latin typeface="Cambria Math"/>
                  <a:ea typeface="Cambria Math"/>
                </a:rPr>
                <a:t>∙𝛾_𝑓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2</xdr:col>
      <xdr:colOff>9525</xdr:colOff>
      <xdr:row>26</xdr:row>
      <xdr:rowOff>1079</xdr:rowOff>
    </xdr:from>
    <xdr:ext cx="1628775" cy="2073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667289" y="5730456"/>
              <a:ext cx="1628775" cy="2073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𝐶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𝑚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ψ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𝑡</m:t>
                        </m:r>
                        <m:r>
                          <a:rPr lang="en-US" sz="12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r>
                      <a:rPr lang="en-US" sz="1200" b="0" i="1">
                        <a:latin typeface="Cambria Math"/>
                        <a:ea typeface="Cambria Math"/>
                      </a:rPr>
                      <m:t>𝑤</m:t>
                    </m:r>
                    <m:r>
                      <a:rPr lang="en-US" sz="12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ψ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𝑃</m:t>
                    </m:r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667289" y="5730456"/>
              <a:ext cx="1628775" cy="2073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𝐶_𝑚=</a:t>
              </a:r>
              <a:r>
                <a:rPr lang="el-GR" sz="1200" b="0" i="0">
                  <a:latin typeface="Cambria Math"/>
                </a:rPr>
                <a:t>ψ</a:t>
              </a:r>
              <a:r>
                <a:rPr lang="en-US" sz="1200" b="0" i="0">
                  <a:latin typeface="Cambria Math"/>
                </a:rPr>
                <a:t>_𝑡1</a:t>
              </a:r>
              <a:r>
                <a:rPr lang="en-US" sz="1200" b="0" i="0">
                  <a:latin typeface="Cambria Math"/>
                  <a:ea typeface="Cambria Math"/>
                </a:rPr>
                <a:t>∙𝑤+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ψ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_𝑡2∙𝑃</a:t>
              </a:r>
              <a:endParaRPr lang="ru-RU" sz="1200" i="1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32</xdr:row>
      <xdr:rowOff>263552</xdr:rowOff>
    </xdr:from>
    <xdr:to>
      <xdr:col>15</xdr:col>
      <xdr:colOff>157033</xdr:colOff>
      <xdr:row>33</xdr:row>
      <xdr:rowOff>379366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44433"/>
          <a:ext cx="10673279" cy="3838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1581150</xdr:colOff>
      <xdr:row>4</xdr:row>
      <xdr:rowOff>9525</xdr:rowOff>
    </xdr:from>
    <xdr:ext cx="1135328" cy="4507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238375" y="666750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𝑀</m:t>
                        </m:r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,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𝑚𝑖𝑛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𝑅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≤1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238375" y="666750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𝑀</a:t>
              </a:r>
              <a:r>
                <a:rPr lang="ru-RU" sz="1100" b="0" i="0">
                  <a:latin typeface="Cambria Math"/>
                  <a:ea typeface="Cambria Math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𝑥,𝑚𝑖𝑛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≤1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1282263</xdr:colOff>
      <xdr:row>10</xdr:row>
      <xdr:rowOff>8868</xdr:rowOff>
    </xdr:from>
    <xdr:ext cx="1428749" cy="400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/>
            </xdr:cNvPr>
            <xdr:cNvSpPr txBox="1"/>
          </xdr:nvSpPr>
          <xdr:spPr>
            <a:xfrm>
              <a:off x="1939488" y="2237718"/>
              <a:ext cx="1428749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𝑚𝑎𝑥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/>
              </a:extLst>
            </xdr:cNvPr>
            <xdr:cNvSpPr txBox="1"/>
          </xdr:nvSpPr>
          <xdr:spPr>
            <a:xfrm>
              <a:off x="1939488" y="2237718"/>
              <a:ext cx="1428749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</a:t>
              </a:r>
              <a:r>
                <a:rPr lang="en-US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𝑚𝑎𝑥</a:t>
              </a:r>
              <a:r>
                <a:rPr lang="ru-RU" sz="110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𝑤∙𝑎_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𝐻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2)/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ru-RU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190500</xdr:colOff>
      <xdr:row>15</xdr:row>
      <xdr:rowOff>9525</xdr:rowOff>
    </xdr:from>
    <xdr:ext cx="2543175" cy="4762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/>
            </xdr:cNvPr>
            <xdr:cNvSpPr txBox="1"/>
          </xdr:nvSpPr>
          <xdr:spPr>
            <a:xfrm>
              <a:off x="847725" y="3533775"/>
              <a:ext cx="2543175" cy="4762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𝑚𝑎𝑥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ru-RU" sz="110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ru-RU" sz="11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100" b="0" i="1">
                                    <a:latin typeface="Cambria Math"/>
                                  </a:rPr>
                                  <m:t>𝑤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  <m:t>𝑎</m:t>
                                    </m:r>
                                  </m:e>
                                  <m:sub>
                                    <m:r>
                                      <a:rPr lang="ru-RU" sz="1100" b="0" i="1">
                                        <a:latin typeface="Cambria Math"/>
                                        <a:ea typeface="Cambria Math"/>
                                      </a:rPr>
                                      <m:t>ср</m:t>
                                    </m:r>
                                  </m:sub>
                                </m:sSub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p>
                                  <m:sSupPr>
                                    <m:ctrlPr>
                                      <a:rPr lang="en-US" sz="1100" b="0" i="1">
                                        <a:latin typeface="Cambria Math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</a:rPr>
                                      <m:t>𝐻</m:t>
                                    </m:r>
                                  </m:e>
                                  <m:sup>
                                    <m:r>
                                      <a:rPr lang="en-US" sz="1100" b="0" i="1">
                                        <a:latin typeface="Cambria Math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100" b="0" i="1">
                                    <a:latin typeface="Cambria Math"/>
                                  </a:rPr>
                                  <m:t>+2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𝑃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  <m:t>𝑎</m:t>
                                    </m:r>
                                  </m:e>
                                  <m:sub>
                                    <m:r>
                                      <a:rPr lang="ru-RU" sz="1100" b="0" i="1">
                                        <a:latin typeface="Cambria Math"/>
                                        <a:ea typeface="Cambria Math"/>
                                      </a:rPr>
                                      <m:t>ср</m:t>
                                    </m:r>
                                  </m:sub>
                                </m:sSub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𝑏</m:t>
                                </m:r>
                              </m:e>
                            </m:d>
                          </m:e>
                          <m:sup>
                            <m:r>
                              <a:rPr lang="en-US" sz="11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8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den>
                    </m:f>
                    <m:r>
                      <a:rPr lang="en-US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/>
              </a:extLst>
            </xdr:cNvPr>
            <xdr:cNvSpPr txBox="1"/>
          </xdr:nvSpPr>
          <xdr:spPr>
            <a:xfrm>
              <a:off x="847725" y="3533775"/>
              <a:ext cx="2543175" cy="4762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</a:t>
              </a:r>
              <a:r>
                <a:rPr lang="en-US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𝑚𝑎𝑥</a:t>
              </a:r>
              <a:r>
                <a:rPr lang="ru-RU" sz="1100" i="0">
                  <a:latin typeface="Cambria Math"/>
                </a:rPr>
                <a:t>=(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en-US" sz="1100" b="0" i="0">
                  <a:latin typeface="Cambria Math"/>
                  <a:ea typeface="Cambria Math"/>
                </a:rPr>
                <a:t>∙𝑎_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</a:t>
              </a:r>
              <a:r>
                <a:rPr lang="en-US" sz="1100" b="0" i="0">
                  <a:latin typeface="Cambria Math"/>
                </a:rPr>
                <a:t>𝐻^2+2</a:t>
              </a:r>
              <a:r>
                <a:rPr lang="en-US" sz="1100" b="0" i="0">
                  <a:latin typeface="Cambria Math"/>
                  <a:ea typeface="Cambria Math"/>
                </a:rPr>
                <a:t>∙𝑃∙𝑎_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∙𝑏)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</a:rPr>
                <a:t>2</a:t>
              </a:r>
              <a:r>
                <a:rPr lang="ru-RU" sz="1100" b="0" i="0">
                  <a:latin typeface="Cambria Math"/>
                </a:rPr>
                <a:t>/(8</a:t>
              </a:r>
              <a:r>
                <a:rPr lang="ru-RU" sz="1100" b="0" i="0">
                  <a:latin typeface="Cambria Math"/>
                  <a:ea typeface="Cambria Math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𝑤∙𝑎_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𝐻^2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1743075</xdr:colOff>
      <xdr:row>19</xdr:row>
      <xdr:rowOff>238125</xdr:rowOff>
    </xdr:from>
    <xdr:ext cx="1135328" cy="4507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2400300" y="4857750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𝑀</m:t>
                        </m:r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,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𝑚𝑖𝑛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𝑅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2400300" y="4857750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𝑀</a:t>
              </a:r>
              <a:r>
                <a:rPr lang="ru-RU" sz="1100" b="0" i="0">
                  <a:latin typeface="Cambria Math"/>
                  <a:ea typeface="Cambria Math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𝑥,𝑚𝑖𝑛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32</xdr:row>
      <xdr:rowOff>4527</xdr:rowOff>
    </xdr:from>
    <xdr:to>
      <xdr:col>12</xdr:col>
      <xdr:colOff>168852</xdr:colOff>
      <xdr:row>32</xdr:row>
      <xdr:rowOff>377504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03720"/>
          <a:ext cx="10620375" cy="3729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1676400</xdr:colOff>
      <xdr:row>3</xdr:row>
      <xdr:rowOff>200025</xdr:rowOff>
    </xdr:from>
    <xdr:ext cx="1135328" cy="2771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333625" y="647700"/>
              <a:ext cx="1135328" cy="2771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333625" y="647700"/>
              <a:ext cx="1135328" cy="2771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&lt;[𝑓]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1095375</xdr:colOff>
      <xdr:row>6</xdr:row>
      <xdr:rowOff>0</xdr:rowOff>
    </xdr:from>
    <xdr:ext cx="1733549" cy="3995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752600" y="1143000"/>
              <a:ext cx="1733549" cy="3995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752600" y="1143000"/>
              <a:ext cx="1733549" cy="3995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1126040</xdr:colOff>
      <xdr:row>7</xdr:row>
      <xdr:rowOff>0</xdr:rowOff>
    </xdr:from>
    <xdr:ext cx="1695451" cy="3714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1783265" y="1533525"/>
              <a:ext cx="1695451" cy="371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185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1783265" y="1533525"/>
              <a:ext cx="1695451" cy="371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ru-RU" sz="1100" b="0" i="0">
                  <a:latin typeface="Cambria Math"/>
                </a:rPr>
                <a:t>=1/185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390526</xdr:colOff>
      <xdr:row>8</xdr:row>
      <xdr:rowOff>9526</xdr:rowOff>
    </xdr:from>
    <xdr:ext cx="2419350" cy="38099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1047751" y="1924051"/>
              <a:ext cx="2419350" cy="380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𝑝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48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𝑏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∙</m:t>
                    </m:r>
                    <m:d>
                      <m:dPr>
                        <m:ctrlPr>
                          <a:rPr lang="en-US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3∙</m:t>
                            </m:r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−4∙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1047751" y="1924051"/>
              <a:ext cx="2419350" cy="380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𝑝</a:t>
              </a:r>
              <a:r>
                <a:rPr lang="ru-RU" sz="1100" b="0" i="0">
                  <a:latin typeface="Cambria Math"/>
                </a:rPr>
                <a:t>=1/48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𝑃∙𝑎_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r>
                <a:rPr lang="en-US" sz="1100" b="0" i="0">
                  <a:latin typeface="Cambria Math"/>
                  <a:ea typeface="Cambria Math"/>
                </a:rPr>
                <a:t>∙(〖3∙𝐻〗^2−4∙𝑏^2 )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819154</xdr:colOff>
      <xdr:row>9</xdr:row>
      <xdr:rowOff>9525</xdr:rowOff>
    </xdr:from>
    <xdr:ext cx="1990722" cy="3810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1476379" y="2314575"/>
              <a:ext cx="1990722" cy="3810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𝑝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𝑏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∙(3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−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5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)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96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1476379" y="2314575"/>
              <a:ext cx="1990722" cy="3810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𝑝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ru-RU" sz="1100" b="0" i="0">
                  <a:latin typeface="Cambria Math"/>
                  <a:ea typeface="Cambria Math"/>
                </a:rPr>
                <a:t>(</a:t>
              </a:r>
              <a:r>
                <a:rPr lang="en-US" sz="1100" b="0" i="0">
                  <a:latin typeface="Cambria Math"/>
                  <a:ea typeface="Cambria Math"/>
                </a:rPr>
                <a:t>𝑃∙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∙𝑏∙(3𝐻^2−</a:t>
              </a:r>
              <a:r>
                <a:rPr lang="ru-RU" sz="1100" b="0" i="0">
                  <a:latin typeface="Cambria Math"/>
                  <a:ea typeface="Cambria Math"/>
                </a:rPr>
                <a:t>5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𝑏^2</a:t>
              </a:r>
              <a:r>
                <a:rPr lang="en-US" sz="1100" b="0" i="0">
                  <a:latin typeface="Cambria Math"/>
                  <a:ea typeface="Cambria Math"/>
                </a:rPr>
                <a:t>)</a:t>
              </a:r>
              <a:r>
                <a:rPr lang="ru-RU" sz="1100" b="0" i="0">
                  <a:latin typeface="Cambria Math"/>
                  <a:ea typeface="Cambria Math"/>
                </a:rPr>
                <a:t>)/(96</a:t>
              </a:r>
              <a:r>
                <a:rPr lang="en-US" sz="1100" b="0" i="0">
                  <a:latin typeface="Cambria Math"/>
                  <a:ea typeface="Cambria Math"/>
                </a:rPr>
                <a:t>∙𝐸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1</xdr:col>
      <xdr:colOff>657224</xdr:colOff>
      <xdr:row>19</xdr:row>
      <xdr:rowOff>196957</xdr:rowOff>
    </xdr:from>
    <xdr:ext cx="4010026" cy="4003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/>
            <xdr:cNvSpPr txBox="1"/>
          </xdr:nvSpPr>
          <xdr:spPr>
            <a:xfrm>
              <a:off x="1380478" y="4852906"/>
              <a:ext cx="4010026" cy="400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𝐽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48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∙</m:t>
                    </m:r>
                    <m:d>
                      <m:d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3∙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−4∙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1380478" y="4852906"/>
              <a:ext cx="4010026" cy="400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𝐽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+1/48×(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𝑃∙𝑎_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∙𝑏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∙(〖3∙𝐻〗^2−4∙𝑏^2 )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4</xdr:colOff>
      <xdr:row>20</xdr:row>
      <xdr:rowOff>374570</xdr:rowOff>
    </xdr:from>
    <xdr:ext cx="3495671" cy="3874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/>
            <xdr:cNvSpPr txBox="1"/>
          </xdr:nvSpPr>
          <xdr:spPr>
            <a:xfrm>
              <a:off x="1381936" y="5240392"/>
              <a:ext cx="3495671" cy="387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𝐽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185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∙(3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5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96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12" name="TextBox 11"/>
            <xdr:cNvSpPr txBox="1"/>
          </xdr:nvSpPr>
          <xdr:spPr>
            <a:xfrm>
              <a:off x="1381936" y="5240392"/>
              <a:ext cx="3495671" cy="387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𝐽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ru-RU" sz="1100" b="0" i="0">
                  <a:latin typeface="Cambria Math"/>
                </a:rPr>
                <a:t>=1</a:t>
              </a:r>
              <a:r>
                <a:rPr lang="ru-RU" sz="1100" b="0" i="0">
                  <a:latin typeface="Cambria Math" panose="02040503050406030204" pitchFamily="18" charset="0"/>
                </a:rPr>
                <a:t>/</a:t>
              </a:r>
              <a:r>
                <a:rPr lang="ru-RU" sz="1100" b="0" i="0">
                  <a:latin typeface="Cambria Math"/>
                </a:rPr>
                <a:t>185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ru-RU" sz="1100" b="0" i="0">
                  <a:latin typeface="Cambria Math"/>
                  <a:ea typeface="Cambria Math"/>
                </a:rPr>
                <a:t>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[</a:t>
              </a:r>
              <a:r>
                <a:rPr lang="en-US" sz="1100" b="0" i="0">
                  <a:latin typeface="Cambria Math"/>
                  <a:ea typeface="Cambria Math"/>
                </a:rPr>
                <a:t>𝑓</a:t>
              </a:r>
              <a:r>
                <a:rPr lang="en-US" sz="1100" b="0" i="0">
                  <a:latin typeface="Cambria Math" panose="02040503050406030204" pitchFamily="18" charset="0"/>
                  <a:ea typeface="Cambria Math"/>
                </a:rPr>
                <a:t>] 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𝑃∙𝑎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∙𝑏∙(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3𝐻^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5𝑏^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96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27</xdr:row>
      <xdr:rowOff>366456</xdr:rowOff>
    </xdr:from>
    <xdr:to>
      <xdr:col>13</xdr:col>
      <xdr:colOff>167053</xdr:colOff>
      <xdr:row>28</xdr:row>
      <xdr:rowOff>369783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395906"/>
          <a:ext cx="10635028" cy="393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928181</xdr:colOff>
      <xdr:row>5</xdr:row>
      <xdr:rowOff>8107</xdr:rowOff>
    </xdr:from>
    <xdr:ext cx="1746926" cy="4093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584798" y="879543"/>
              <a:ext cx="1746926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𝑦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±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≤1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584798" y="879543"/>
              <a:ext cx="1746926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𝑥𝑛 𝑅_𝑦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±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𝑦𝑛 𝑅_𝑦 𝛾_𝑐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𝑥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≤1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1283849</xdr:colOff>
      <xdr:row>8</xdr:row>
      <xdr:rowOff>0</xdr:rowOff>
    </xdr:from>
    <xdr:ext cx="1476375" cy="3531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938983" y="1663390"/>
              <a:ext cx="1476375" cy="3531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938983" y="1663390"/>
              <a:ext cx="1476375" cy="3531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en-US" sz="1100" b="0" i="0">
                  <a:latin typeface="Cambria Math"/>
                </a:rPr>
                <a:t>=(𝑤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×𝐵^2)/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en-US" sz="1100" b="0" i="0">
                  <a:latin typeface="Cambria Math"/>
                  <a:ea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900619</xdr:colOff>
      <xdr:row>13</xdr:row>
      <xdr:rowOff>1</xdr:rowOff>
    </xdr:from>
    <xdr:ext cx="1843392" cy="3688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1557236" y="2922352"/>
              <a:ext cx="1843392" cy="3688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(</m:t>
                        </m:r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557236" y="2922352"/>
              <a:ext cx="1843392" cy="3688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en-US" sz="1100" b="0" i="0">
                  <a:latin typeface="Cambria Math"/>
                </a:rPr>
                <a:t>=((𝑤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𝑃)×𝐵^2)/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en-US" sz="1100" b="0" i="0">
                  <a:latin typeface="Cambria Math"/>
                  <a:ea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1762125</xdr:colOff>
      <xdr:row>21</xdr:row>
      <xdr:rowOff>190500</xdr:rowOff>
    </xdr:from>
    <xdr:ext cx="916700" cy="2439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2419350" y="5619750"/>
              <a:ext cx="916700" cy="2439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𝑦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r>
                      <a:rPr lang="en-US" sz="1100" b="0" i="1">
                        <a:latin typeface="Cambria Math"/>
                      </a:rPr>
                      <m:t>𝑄𝑐</m:t>
                    </m:r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2419350" y="5619750"/>
              <a:ext cx="916700" cy="2439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𝑀_𝑦</a:t>
              </a:r>
              <a:r>
                <a:rPr lang="en-US" sz="1100" b="0" i="0">
                  <a:latin typeface="Cambria Math"/>
                </a:rPr>
                <a:t>=𝑄𝑐</a:t>
              </a:r>
              <a:r>
                <a:rPr lang="ru-RU" sz="1100" b="0" i="0">
                  <a:latin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1119085</xdr:colOff>
      <xdr:row>28</xdr:row>
      <xdr:rowOff>4865</xdr:rowOff>
    </xdr:from>
    <xdr:ext cx="1620871" cy="39640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1775702" y="6976354"/>
              <a:ext cx="1620871" cy="3964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𝑦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±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1775702" y="6976354"/>
              <a:ext cx="1620871" cy="39640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𝑥𝑛 𝑅_𝑦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±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𝑦𝑛 𝑅_𝑦 𝛾_𝑐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𝑥=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29</xdr:row>
      <xdr:rowOff>566675</xdr:rowOff>
    </xdr:from>
    <xdr:to>
      <xdr:col>12</xdr:col>
      <xdr:colOff>155864</xdr:colOff>
      <xdr:row>30</xdr:row>
      <xdr:rowOff>377780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02409"/>
          <a:ext cx="10623468" cy="3925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1714500</xdr:colOff>
      <xdr:row>4</xdr:row>
      <xdr:rowOff>9525</xdr:rowOff>
    </xdr:from>
    <xdr:ext cx="1135328" cy="1973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373086" y="673554"/>
              <a:ext cx="1135328" cy="1973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373086" y="673554"/>
              <a:ext cx="1135328" cy="1973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&lt;[𝑓]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997405</xdr:colOff>
      <xdr:row>5</xdr:row>
      <xdr:rowOff>8164</xdr:rowOff>
    </xdr:from>
    <xdr:ext cx="1866898" cy="3782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655991" y="911678"/>
              <a:ext cx="1866898" cy="3782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факт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655991" y="911678"/>
              <a:ext cx="1866898" cy="3782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𝑓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_факт=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636814</xdr:colOff>
      <xdr:row>6</xdr:row>
      <xdr:rowOff>4083</xdr:rowOff>
    </xdr:from>
    <xdr:ext cx="2219325" cy="3769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1295400" y="1288597"/>
              <a:ext cx="2219325" cy="376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факт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)×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1295400" y="1288597"/>
              <a:ext cx="2219325" cy="376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𝑓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_факт=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(𝑤×𝑎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+𝑃)×𝐵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857948</xdr:colOff>
      <xdr:row>16</xdr:row>
      <xdr:rowOff>9293</xdr:rowOff>
    </xdr:from>
    <xdr:ext cx="1990723" cy="3949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513082" y="3438293"/>
              <a:ext cx="1990723" cy="3949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513082" y="3438293"/>
              <a:ext cx="1990723" cy="3949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𝐼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𝑥 𝑚𝑖𝑛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)=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ysClr val="windowText" lastClr="000000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587297</xdr:colOff>
      <xdr:row>17</xdr:row>
      <xdr:rowOff>232</xdr:rowOff>
    </xdr:from>
    <xdr:ext cx="2276475" cy="3807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1242431" y="3810232"/>
              <a:ext cx="2276475" cy="380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)×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1242431" y="3810232"/>
              <a:ext cx="2276475" cy="380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 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(𝑤×𝑎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+𝑃)×𝐵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ysClr val="windowText" lastClr="000000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2015270</xdr:colOff>
      <xdr:row>25</xdr:row>
      <xdr:rowOff>11724</xdr:rowOff>
    </xdr:from>
    <xdr:ext cx="839391" cy="1875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3263778" y="5882055"/>
              <a:ext cx="839391" cy="187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3263778" y="5882055"/>
              <a:ext cx="839391" cy="187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&lt;[𝑓]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1506415</xdr:colOff>
      <xdr:row>25</xdr:row>
      <xdr:rowOff>202224</xdr:rowOff>
    </xdr:from>
    <xdr:ext cx="1354015" cy="3927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2754923" y="6072555"/>
              <a:ext cx="1354015" cy="3927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𝑚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𝑚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𝑦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2754923" y="6072555"/>
              <a:ext cx="1354015" cy="3927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𝑚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𝑚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𝐵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𝑦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720237</xdr:colOff>
      <xdr:row>27</xdr:row>
      <xdr:rowOff>43960</xdr:rowOff>
    </xdr:from>
    <xdr:ext cx="2261088" cy="3985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/>
            <xdr:cNvSpPr txBox="1"/>
          </xdr:nvSpPr>
          <xdr:spPr>
            <a:xfrm>
              <a:off x="1968012" y="6759085"/>
              <a:ext cx="2261088" cy="398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  <a:ea typeface="Cambria Math"/>
                      </a:rPr>
                      <m:t> </m:t>
                    </m:r>
                    <m:sSub>
                      <m:sSub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</m:sub>
                    </m:sSub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3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24∙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den>
                    </m:f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den>
                        </m:f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𝑐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1968012" y="6759085"/>
              <a:ext cx="2261088" cy="398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×𝐵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3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24∙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𝐸×𝐽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 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4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28</xdr:row>
      <xdr:rowOff>292641</xdr:rowOff>
    </xdr:from>
    <xdr:to>
      <xdr:col>14</xdr:col>
      <xdr:colOff>4482</xdr:colOff>
      <xdr:row>29</xdr:row>
      <xdr:rowOff>371031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29587"/>
          <a:ext cx="10610969" cy="3782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</xdr:colOff>
      <xdr:row>11</xdr:row>
      <xdr:rowOff>9525</xdr:rowOff>
    </xdr:from>
    <xdr:ext cx="3676648" cy="4910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657227" y="2400300"/>
              <a:ext cx="3676648" cy="4910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𝑦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24∙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den>
                        </m:f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𝑐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657227" y="2400300"/>
              <a:ext cx="3676648" cy="4910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𝐼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𝑦 𝑚𝑖𝑛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)=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384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𝑚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4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𝑄×𝐵^3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24∙𝐸×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3 𝑐/𝐵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4 𝑐^3/𝐵^3 )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30</xdr:row>
      <xdr:rowOff>590698</xdr:rowOff>
    </xdr:from>
    <xdr:to>
      <xdr:col>14</xdr:col>
      <xdr:colOff>845</xdr:colOff>
      <xdr:row>31</xdr:row>
      <xdr:rowOff>375518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366028"/>
          <a:ext cx="10685972" cy="4138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ГОРОД_ВР" displayName="ГОРОД_ВР" ref="A2:B242" totalsRowShown="0" headerRowDxfId="194">
  <autoFilter ref="A2:B242"/>
  <tableColumns count="2">
    <tableColumn id="1" name="Город" dataDxfId="193"/>
    <tableColumn id="2" name="Ветровой Район" dataDxfId="19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ВР_W0" displayName="ВР_W0" ref="D2:E10" totalsRowShown="0" headerRowDxfId="191" headerRowBorderDxfId="190" tableBorderDxfId="189" totalsRowBorderDxfId="188">
  <autoFilter ref="D2:E10"/>
  <tableColumns count="2">
    <tableColumn id="1" name="Ветровой Район"/>
    <tableColumn id="2" name="W0, кПа" dataDxfId="187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8" name="тип_здания" displayName="тип_здания" ref="D24:E28" totalsRowShown="0" headerRowDxfId="186" headerRowBorderDxfId="185" tableBorderDxfId="184" totalsRowBorderDxfId="183">
  <autoFilter ref="D24:E28"/>
  <tableColumns count="2">
    <tableColumn id="1" name="тип здания" dataDxfId="182"/>
    <tableColumn id="2" name="перильная нагрузка P, кН/м" dataDxfId="181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11" name="система" displayName="система" ref="D30:D34" totalsRowShown="0" headerRowDxfId="180" dataDxfId="178" headerRowBorderDxfId="179" tableBorderDxfId="177" totalsRowBorderDxfId="176">
  <autoFilter ref="D30:D34"/>
  <tableColumns count="1">
    <tableColumn id="1" name="система" dataDxfId="175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4" name="стойки_МП640_ГХ" displayName="стойки_МП640_ГХ" ref="A2:J119" totalsRowShown="0" headerRowDxfId="174" dataDxfId="173">
  <autoFilter ref="A2:J119"/>
  <tableColumns count="10">
    <tableColumn id="1" name="Артикул" dataDxfId="172"/>
    <tableColumn id="2" name="Ix, см4" dataDxfId="171"/>
    <tableColumn id="3" name="Wx, см3" dataDxfId="170"/>
    <tableColumn id="9" name="Wx Min, см3" dataDxfId="169"/>
    <tableColumn id="4" name="Iy, см4" dataDxfId="168"/>
    <tableColumn id="5" name="Wy, см3" dataDxfId="167"/>
    <tableColumn id="8" name="R, МПа" dataDxfId="166"/>
    <tableColumn id="7" name="x, мм" dataDxfId="165"/>
    <tableColumn id="10" name="y, мм" dataDxfId="164"/>
    <tableColumn id="6" name="Масса, кг/п.м." dataDxfId="16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7" name="МП40_ГХ" displayName="МП40_ГХ" ref="A122:J137" totalsRowShown="0" headerRowDxfId="162" dataDxfId="161">
  <autoFilter ref="A122:J137"/>
  <tableColumns count="10">
    <tableColumn id="1" name="Артикул" dataDxfId="160"/>
    <tableColumn id="2" name="Ix, см4" dataDxfId="159"/>
    <tableColumn id="3" name="Wx, см3" dataDxfId="158"/>
    <tableColumn id="9" name="Wx Min, см3" dataDxfId="157"/>
    <tableColumn id="4" name="Iy, см4" dataDxfId="156"/>
    <tableColumn id="5" name="Wy, см3" dataDxfId="155"/>
    <tableColumn id="8" name="R, МПа" dataDxfId="154"/>
    <tableColumn id="7" name="x, мм" dataDxfId="153"/>
    <tableColumn id="10" name="y, мм" dataDxfId="152"/>
    <tableColumn id="6" name="Масса, кг/п.м." dataDxfId="151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9" name="импосты_МП640_ГХ" displayName="импосты_МП640_ГХ" ref="L2:R46" totalsRowShown="0" headerRowDxfId="150" dataDxfId="149">
  <autoFilter ref="L2:R46"/>
  <tableColumns count="7">
    <tableColumn id="1" name="Артикул" dataDxfId="148"/>
    <tableColumn id="2" name="Ix, см4" dataDxfId="147"/>
    <tableColumn id="3" name="Wx, см3" dataDxfId="146"/>
    <tableColumn id="4" name="Iy, см4" dataDxfId="145"/>
    <tableColumn id="5" name="Wy, см3" dataDxfId="144"/>
    <tableColumn id="8" name="R, МПа" dataDxfId="143"/>
    <tableColumn id="6" name="Масса, кг/п.м." dataDxfId="142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10" name="ригели_МП640_ГХ" displayName="ригели_МП640_ГХ" ref="T2:AB64" totalsRowShown="0" headerRowDxfId="141" dataDxfId="140">
  <autoFilter ref="T2:AB64"/>
  <tableColumns count="9">
    <tableColumn id="1" name="Артикул" dataDxfId="139"/>
    <tableColumn id="2" name="Ix, см4" dataDxfId="138"/>
    <tableColumn id="3" name="Wx, см3" dataDxfId="137"/>
    <tableColumn id="4" name="Iy, см4" dataDxfId="136"/>
    <tableColumn id="5" name="Wy, см3" dataDxfId="135"/>
    <tableColumn id="8" name="R, МПа" dataDxfId="134"/>
    <tableColumn id="7" name="x, мм" dataDxfId="133"/>
    <tableColumn id="10" name="y, мм" dataDxfId="132"/>
    <tableColumn id="6" name="Масса, кг/п.м." dataDxfId="131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id="12" name="стойки_МП640v2_ГХ" displayName="стойки_МП640v2_ГХ" ref="A140:J151" totalsRowShown="0" headerRowDxfId="130" dataDxfId="129">
  <autoFilter ref="A140:J151"/>
  <tableColumns count="10">
    <tableColumn id="1" name="Артикул" dataDxfId="128"/>
    <tableColumn id="2" name="Ix, см4" dataDxfId="127"/>
    <tableColumn id="3" name="Wx, см3" dataDxfId="126"/>
    <tableColumn id="9" name="Wx Min, см3" dataDxfId="125"/>
    <tableColumn id="4" name="Iy, см4" dataDxfId="124"/>
    <tableColumn id="5" name="Wy, см3" dataDxfId="123"/>
    <tableColumn id="8" name="R, МПа" dataDxfId="122"/>
    <tableColumn id="7" name="x, мм" dataDxfId="121"/>
    <tableColumn id="10" name="y, мм" dataDxfId="120"/>
    <tableColumn id="6" name="Масса, кг/п.м." dataDxfId="119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id="13" name="импосты_МП640v2_ГХ" displayName="импосты_МП640v2_ГХ" ref="L140:R144" totalsRowShown="0" headerRowDxfId="118" dataDxfId="117">
  <autoFilter ref="L140:R144"/>
  <tableColumns count="7">
    <tableColumn id="1" name="Артикул" dataDxfId="116"/>
    <tableColumn id="2" name="Ix, см4" dataDxfId="115"/>
    <tableColumn id="3" name="Wx, см3" dataDxfId="114"/>
    <tableColumn id="4" name="Iy, см4" dataDxfId="113"/>
    <tableColumn id="5" name="Wy, см3" dataDxfId="112"/>
    <tableColumn id="8" name="R, МПа" dataDxfId="111"/>
    <tableColumn id="6" name="Масса, кг/п.м." dataDxfId="110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id="15" name="ригели_МП640_ГХ16" displayName="ригели_МП640_ГХ16" ref="AD2:AL16" totalsRowShown="0" headerRowDxfId="109" dataDxfId="108">
  <autoFilter ref="AD2:AL16"/>
  <tableColumns count="9">
    <tableColumn id="1" name="Артикул" dataDxfId="107"/>
    <tableColumn id="2" name="Ix, см4" dataDxfId="106"/>
    <tableColumn id="3" name="Wx, см3" dataDxfId="105"/>
    <tableColumn id="4" name="Iy, см4" dataDxfId="104"/>
    <tableColumn id="5" name="Wy, см3" dataDxfId="103"/>
    <tableColumn id="8" name="R, МПа" dataDxfId="102"/>
    <tableColumn id="7" name="x, мм" dataDxfId="101"/>
    <tableColumn id="10" name="y, мм" dataDxfId="100"/>
    <tableColumn id="6" name="Масса, кг/п.м." dataDxfId="99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id="14" name="ригели_МП640v2_ГХ" displayName="ригели_МП640v2_ГХ" ref="T140:AB150" totalsRowShown="0" headerRowDxfId="98" dataDxfId="97">
  <autoFilter ref="T140:AB150"/>
  <tableColumns count="9">
    <tableColumn id="1" name="Артикул" dataDxfId="96"/>
    <tableColumn id="2" name="Ix, см4" dataDxfId="95"/>
    <tableColumn id="3" name="Wx, см3" dataDxfId="94"/>
    <tableColumn id="4" name="Iy, см4" dataDxfId="93"/>
    <tableColumn id="5" name="Wy, см3" dataDxfId="92"/>
    <tableColumn id="8" name="R, МПа" dataDxfId="91"/>
    <tableColumn id="7" name="x, мм" dataDxfId="90"/>
    <tableColumn id="10" name="y, мм" dataDxfId="89"/>
    <tableColumn id="6" name="Масса, кг/п.м." dataDxfId="88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id="16" name="стойки_МП50_ГХ" displayName="стойки_МП50_ГХ" ref="A154:J170" totalsRowShown="0" headerRowDxfId="87" dataDxfId="86">
  <autoFilter ref="A154:J170"/>
  <tableColumns count="10">
    <tableColumn id="1" name="Артикул" dataDxfId="85"/>
    <tableColumn id="2" name="Ix, см4" dataDxfId="84"/>
    <tableColumn id="3" name="Wx, см3" dataDxfId="83"/>
    <tableColumn id="9" name="Wx Min, см3" dataDxfId="82"/>
    <tableColumn id="4" name="Iy, см4" dataDxfId="81"/>
    <tableColumn id="5" name="Wy, см3" dataDxfId="80"/>
    <tableColumn id="8" name="R, МПа" dataDxfId="79"/>
    <tableColumn id="7" name="x, мм" dataDxfId="78"/>
    <tableColumn id="10" name="y, мм" dataDxfId="77"/>
    <tableColumn id="6" name="Масса, кг/п.м." dataDxfId="76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id="17" name="импосты_МП50_ГХ" displayName="импосты_МП50_ГХ" ref="L154:R162" totalsRowShown="0" headerRowDxfId="75" dataDxfId="74">
  <autoFilter ref="L154:R162"/>
  <tableColumns count="7">
    <tableColumn id="1" name="Артикул" dataDxfId="73"/>
    <tableColumn id="2" name="Ix, см4" dataDxfId="72"/>
    <tableColumn id="3" name="Wx, см3" dataDxfId="71"/>
    <tableColumn id="4" name="Iy, см4" dataDxfId="70"/>
    <tableColumn id="5" name="Wy, см3" dataDxfId="69"/>
    <tableColumn id="8" name="R, МПа" dataDxfId="68"/>
    <tableColumn id="6" name="Масса, кг/п.м." dataDxfId="67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id="18" name="ригели_МП50_ГХ" displayName="ригели_МП50_ГХ" ref="T154:AB162" totalsRowShown="0" headerRowDxfId="66" dataDxfId="65">
  <autoFilter ref="T154:AB162"/>
  <tableColumns count="9">
    <tableColumn id="1" name="Артикул" dataDxfId="64"/>
    <tableColumn id="2" name="Ix, см4" dataDxfId="63"/>
    <tableColumn id="3" name="Wx, см3" dataDxfId="62"/>
    <tableColumn id="4" name="Iy, см4" dataDxfId="61"/>
    <tableColumn id="5" name="Wy, см3" dataDxfId="60"/>
    <tableColumn id="8" name="R, МПа" dataDxfId="59"/>
    <tableColumn id="7" name="x, мм" dataDxfId="58"/>
    <tableColumn id="10" name="y, мм" dataDxfId="57"/>
    <tableColumn id="6" name="Масса, кг/п.м." dataDxfId="56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id="3" name="Содержание" displayName="Содержание" ref="B3:D11" totalsRowShown="0" headerRowDxfId="55" dataDxfId="54">
  <autoFilter ref="B3:D11"/>
  <tableColumns count="3">
    <tableColumn id="1" name="Лист" dataDxfId="53"/>
    <tableColumn id="2" name="Наименование" dataDxfId="52"/>
    <tableColumn id="3" name="Примечания" dataDxfId="51"/>
  </tableColumns>
  <tableStyleInfo name="Стиль таблицы 1" showFirstColumn="0" showLastColumn="0" showRowStripes="1" showColumnStripes="0"/>
</table>
</file>

<file path=xl/tables/table17.xml><?xml version="1.0" encoding="utf-8"?>
<table xmlns="http://schemas.openxmlformats.org/spreadsheetml/2006/main" id="5" name="Прилагаемые_документы" displayName="Прилагаемые_документы" ref="I3:J5" totalsRowShown="0" headerRowDxfId="50" dataDxfId="49">
  <autoFilter ref="I3:J5"/>
  <tableColumns count="2">
    <tableColumn id="1" name="Наименование" dataDxfId="48"/>
    <tableColumn id="2" name="Примечание" dataDxfId="47"/>
  </tableColumns>
  <tableStyleInfo name="Стиль таблицы 1" showFirstColumn="0" showLastColumn="0" showRowStripes="1" showColumnStripes="0"/>
</table>
</file>

<file path=xl/tables/table18.xml><?xml version="1.0" encoding="utf-8"?>
<table xmlns="http://schemas.openxmlformats.org/spreadsheetml/2006/main" id="6" name="Ссылочные_документы" displayName="Ссылочные_документы" ref="I14:J18" totalsRowShown="0" headerRowDxfId="46" dataDxfId="45">
  <autoFilter ref="I14:J18"/>
  <tableColumns count="2">
    <tableColumn id="1" name="Наименование" dataDxfId="44"/>
    <tableColumn id="2" name="Примечание" dataDxfId="43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12" Type="http://schemas.openxmlformats.org/officeDocument/2006/relationships/table" Target="../tables/table15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9.xml"/><Relationship Id="rId11" Type="http://schemas.openxmlformats.org/officeDocument/2006/relationships/table" Target="../tables/table14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@tatprof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2"/>
  <sheetViews>
    <sheetView topLeftCell="A55" zoomScaleNormal="100" workbookViewId="0">
      <selection activeCell="A20" sqref="A20"/>
    </sheetView>
  </sheetViews>
  <sheetFormatPr defaultRowHeight="16.5" x14ac:dyDescent="0.3"/>
  <cols>
    <col min="1" max="1" width="29.85546875" style="2" bestFit="1" customWidth="1"/>
    <col min="2" max="2" width="20.5703125" style="2" bestFit="1" customWidth="1"/>
    <col min="3" max="3" width="9.140625" style="2"/>
    <col min="4" max="4" width="20.5703125" style="2" bestFit="1" customWidth="1"/>
    <col min="5" max="5" width="17.42578125" style="2" customWidth="1"/>
    <col min="6" max="6" width="11.42578125" style="2" bestFit="1" customWidth="1"/>
    <col min="7" max="8" width="9.140625" style="2"/>
    <col min="9" max="9" width="30.85546875" style="2" bestFit="1" customWidth="1"/>
    <col min="10" max="12" width="9.140625" style="2"/>
    <col min="13" max="13" width="35.140625" style="2" bestFit="1" customWidth="1"/>
    <col min="14" max="14" width="44" style="2" bestFit="1" customWidth="1"/>
    <col min="15" max="16384" width="9.140625" style="2"/>
  </cols>
  <sheetData>
    <row r="1" spans="1:14" x14ac:dyDescent="0.3">
      <c r="D1" s="2" t="s">
        <v>221</v>
      </c>
      <c r="I1" s="2" t="s">
        <v>485</v>
      </c>
      <c r="M1" s="65" t="s">
        <v>383</v>
      </c>
    </row>
    <row r="2" spans="1:14" ht="17.25" thickBot="1" x14ac:dyDescent="0.35">
      <c r="A2" s="2" t="s">
        <v>10</v>
      </c>
      <c r="B2" s="2" t="s">
        <v>11</v>
      </c>
      <c r="D2" s="5" t="s">
        <v>11</v>
      </c>
      <c r="E2" s="6" t="s">
        <v>175</v>
      </c>
      <c r="I2" s="41" t="s">
        <v>489</v>
      </c>
      <c r="J2" s="16"/>
      <c r="M2" s="20">
        <v>100</v>
      </c>
    </row>
    <row r="3" spans="1:14" x14ac:dyDescent="0.3">
      <c r="A3" s="73" t="s">
        <v>561</v>
      </c>
      <c r="B3" s="39" t="s">
        <v>174</v>
      </c>
      <c r="D3" s="3" t="s">
        <v>176</v>
      </c>
      <c r="E3" s="8">
        <v>0.17</v>
      </c>
      <c r="I3" s="14" t="s">
        <v>486</v>
      </c>
      <c r="J3" s="16"/>
      <c r="M3" s="20">
        <v>150</v>
      </c>
    </row>
    <row r="4" spans="1:14" x14ac:dyDescent="0.3">
      <c r="A4" s="73" t="s">
        <v>562</v>
      </c>
      <c r="B4" s="39" t="s">
        <v>168</v>
      </c>
      <c r="D4" s="4" t="s">
        <v>171</v>
      </c>
      <c r="E4" s="9">
        <v>0.23</v>
      </c>
      <c r="I4" s="14" t="s">
        <v>487</v>
      </c>
      <c r="J4" s="16"/>
    </row>
    <row r="5" spans="1:14" x14ac:dyDescent="0.3">
      <c r="A5" s="73" t="s">
        <v>563</v>
      </c>
      <c r="B5" s="39" t="s">
        <v>168</v>
      </c>
      <c r="D5" s="7" t="s">
        <v>169</v>
      </c>
      <c r="E5" s="10">
        <v>0.3</v>
      </c>
      <c r="I5" s="2" t="s">
        <v>240</v>
      </c>
      <c r="M5" s="47" t="s">
        <v>382</v>
      </c>
    </row>
    <row r="6" spans="1:14" x14ac:dyDescent="0.3">
      <c r="A6" s="63" t="s">
        <v>12</v>
      </c>
      <c r="B6" s="39" t="s">
        <v>168</v>
      </c>
      <c r="D6" s="2" t="s">
        <v>168</v>
      </c>
      <c r="E6" s="11">
        <v>0.38</v>
      </c>
      <c r="I6" s="14" t="s">
        <v>241</v>
      </c>
      <c r="M6" s="47">
        <v>1</v>
      </c>
      <c r="N6"/>
    </row>
    <row r="7" spans="1:14" x14ac:dyDescent="0.3">
      <c r="A7" s="73" t="s">
        <v>564</v>
      </c>
      <c r="B7" s="39" t="s">
        <v>174</v>
      </c>
      <c r="D7" s="2" t="s">
        <v>170</v>
      </c>
      <c r="E7" s="11">
        <v>0.48</v>
      </c>
      <c r="I7" s="14" t="s">
        <v>242</v>
      </c>
      <c r="M7" s="47">
        <v>2</v>
      </c>
      <c r="N7"/>
    </row>
    <row r="8" spans="1:14" x14ac:dyDescent="0.3">
      <c r="A8" s="63" t="s">
        <v>13</v>
      </c>
      <c r="B8" s="39" t="s">
        <v>169</v>
      </c>
      <c r="D8" s="2" t="s">
        <v>172</v>
      </c>
      <c r="E8" s="11">
        <v>0.6</v>
      </c>
      <c r="M8" s="47">
        <v>3</v>
      </c>
      <c r="N8"/>
    </row>
    <row r="9" spans="1:14" x14ac:dyDescent="0.3">
      <c r="A9" s="73" t="s">
        <v>565</v>
      </c>
      <c r="B9" s="39" t="s">
        <v>168</v>
      </c>
      <c r="D9" s="2" t="s">
        <v>173</v>
      </c>
      <c r="E9" s="11">
        <v>0.73</v>
      </c>
      <c r="I9" s="38" t="s">
        <v>198</v>
      </c>
      <c r="M9" s="47">
        <v>5</v>
      </c>
    </row>
    <row r="10" spans="1:14" x14ac:dyDescent="0.3">
      <c r="A10" s="63" t="s">
        <v>14</v>
      </c>
      <c r="B10" s="39" t="s">
        <v>170</v>
      </c>
      <c r="D10" s="2" t="s">
        <v>174</v>
      </c>
      <c r="E10" s="11">
        <v>0.85</v>
      </c>
      <c r="I10" s="41" t="s">
        <v>235</v>
      </c>
      <c r="M10" s="47" t="s">
        <v>384</v>
      </c>
    </row>
    <row r="11" spans="1:14" x14ac:dyDescent="0.3">
      <c r="A11" s="63" t="s">
        <v>15</v>
      </c>
      <c r="B11" s="39" t="s">
        <v>169</v>
      </c>
      <c r="I11" s="41" t="s">
        <v>488</v>
      </c>
    </row>
    <row r="12" spans="1:14" x14ac:dyDescent="0.3">
      <c r="A12" s="73" t="s">
        <v>566</v>
      </c>
      <c r="B12" s="39" t="s">
        <v>168</v>
      </c>
      <c r="D12" s="2" t="s">
        <v>222</v>
      </c>
    </row>
    <row r="13" spans="1:14" x14ac:dyDescent="0.3">
      <c r="A13" s="63" t="s">
        <v>16</v>
      </c>
      <c r="B13" s="39" t="s">
        <v>168</v>
      </c>
      <c r="D13" s="175" t="s">
        <v>223</v>
      </c>
      <c r="E13" s="175" t="s">
        <v>194</v>
      </c>
      <c r="F13" s="175"/>
      <c r="G13" s="175"/>
      <c r="I13" s="2" t="s">
        <v>250</v>
      </c>
    </row>
    <row r="14" spans="1:14" x14ac:dyDescent="0.3">
      <c r="A14" s="63" t="s">
        <v>17</v>
      </c>
      <c r="B14" s="39" t="s">
        <v>168</v>
      </c>
      <c r="D14" s="175"/>
      <c r="E14" s="13" t="s">
        <v>224</v>
      </c>
      <c r="F14" s="13" t="s">
        <v>225</v>
      </c>
      <c r="G14" s="13" t="s">
        <v>226</v>
      </c>
      <c r="I14" s="14" t="s">
        <v>251</v>
      </c>
    </row>
    <row r="15" spans="1:14" x14ac:dyDescent="0.3">
      <c r="A15" s="63" t="s">
        <v>18</v>
      </c>
      <c r="B15" s="39" t="s">
        <v>168</v>
      </c>
      <c r="D15" s="13" t="s">
        <v>227</v>
      </c>
      <c r="E15" s="13">
        <v>0.15</v>
      </c>
      <c r="F15" s="13">
        <v>0.2</v>
      </c>
      <c r="G15" s="13">
        <v>0.25</v>
      </c>
      <c r="I15" s="14" t="s">
        <v>252</v>
      </c>
    </row>
    <row r="16" spans="1:14" x14ac:dyDescent="0.3">
      <c r="A16" s="63" t="s">
        <v>19</v>
      </c>
      <c r="B16" s="39" t="s">
        <v>168</v>
      </c>
      <c r="D16" s="13" t="s">
        <v>228</v>
      </c>
      <c r="E16" s="13">
        <v>1</v>
      </c>
      <c r="F16" s="13">
        <v>0.65</v>
      </c>
      <c r="G16" s="13">
        <v>0.4</v>
      </c>
    </row>
    <row r="17" spans="1:10" x14ac:dyDescent="0.3">
      <c r="A17" s="63" t="s">
        <v>20</v>
      </c>
      <c r="B17" s="39" t="s">
        <v>171</v>
      </c>
      <c r="D17" s="13" t="s">
        <v>229</v>
      </c>
      <c r="E17" s="13">
        <v>0.76</v>
      </c>
      <c r="F17" s="13">
        <v>1.06</v>
      </c>
      <c r="G17" s="13">
        <v>1.78</v>
      </c>
      <c r="I17" s="41" t="s">
        <v>197</v>
      </c>
    </row>
    <row r="18" spans="1:10" x14ac:dyDescent="0.3">
      <c r="A18" s="63" t="s">
        <v>21</v>
      </c>
      <c r="B18" s="39" t="s">
        <v>168</v>
      </c>
      <c r="I18" s="41" t="s">
        <v>515</v>
      </c>
    </row>
    <row r="19" spans="1:10" x14ac:dyDescent="0.3">
      <c r="A19" s="63" t="s">
        <v>22</v>
      </c>
      <c r="B19" s="39" t="s">
        <v>168</v>
      </c>
    </row>
    <row r="20" spans="1:10" x14ac:dyDescent="0.3">
      <c r="A20" s="73" t="s">
        <v>567</v>
      </c>
      <c r="B20" s="39" t="s">
        <v>168</v>
      </c>
      <c r="I20" s="14" t="s">
        <v>231</v>
      </c>
      <c r="J20" s="14" t="s">
        <v>234</v>
      </c>
    </row>
    <row r="21" spans="1:10" x14ac:dyDescent="0.3">
      <c r="A21" s="73" t="s">
        <v>568</v>
      </c>
      <c r="B21" s="39" t="s">
        <v>169</v>
      </c>
      <c r="I21" s="14" t="s">
        <v>233</v>
      </c>
      <c r="J21" s="14">
        <v>1.2</v>
      </c>
    </row>
    <row r="22" spans="1:10" x14ac:dyDescent="0.3">
      <c r="A22" s="63" t="s">
        <v>23</v>
      </c>
      <c r="B22" s="39" t="s">
        <v>169</v>
      </c>
      <c r="I22" s="14" t="s">
        <v>232</v>
      </c>
      <c r="J22" s="14">
        <v>2.2000000000000002</v>
      </c>
    </row>
    <row r="23" spans="1:10" x14ac:dyDescent="0.3">
      <c r="A23" s="73" t="s">
        <v>569</v>
      </c>
      <c r="B23" s="39" t="s">
        <v>168</v>
      </c>
      <c r="D23" s="2" t="s">
        <v>243</v>
      </c>
    </row>
    <row r="24" spans="1:10" ht="33" x14ac:dyDescent="0.3">
      <c r="A24" s="73" t="s">
        <v>570</v>
      </c>
      <c r="B24" s="39" t="s">
        <v>169</v>
      </c>
      <c r="D24" s="19" t="s">
        <v>244</v>
      </c>
      <c r="E24" s="21" t="s">
        <v>245</v>
      </c>
    </row>
    <row r="25" spans="1:10" x14ac:dyDescent="0.3">
      <c r="A25" s="73" t="s">
        <v>571</v>
      </c>
      <c r="B25" s="39" t="s">
        <v>168</v>
      </c>
      <c r="D25" s="20" t="s">
        <v>246</v>
      </c>
      <c r="E25" s="15">
        <v>0.5</v>
      </c>
      <c r="I25" s="64" t="s">
        <v>547</v>
      </c>
    </row>
    <row r="26" spans="1:10" x14ac:dyDescent="0.3">
      <c r="A26" s="73" t="s">
        <v>572</v>
      </c>
      <c r="B26" s="39" t="s">
        <v>168</v>
      </c>
      <c r="D26" s="20" t="s">
        <v>247</v>
      </c>
      <c r="E26" s="15">
        <v>1.5</v>
      </c>
      <c r="I26" s="64" t="s">
        <v>549</v>
      </c>
    </row>
    <row r="27" spans="1:10" x14ac:dyDescent="0.3">
      <c r="A27" s="73" t="s">
        <v>573</v>
      </c>
      <c r="B27" s="39" t="s">
        <v>168</v>
      </c>
      <c r="D27" s="20" t="s">
        <v>248</v>
      </c>
      <c r="E27" s="15">
        <v>0.8</v>
      </c>
      <c r="I27" s="64" t="s">
        <v>548</v>
      </c>
    </row>
    <row r="28" spans="1:10" x14ac:dyDescent="0.3">
      <c r="A28" s="63" t="s">
        <v>24</v>
      </c>
      <c r="B28" s="39" t="s">
        <v>171</v>
      </c>
      <c r="D28" s="18" t="s">
        <v>249</v>
      </c>
      <c r="E28" s="17">
        <v>0.3</v>
      </c>
    </row>
    <row r="29" spans="1:10" x14ac:dyDescent="0.3">
      <c r="A29" s="63" t="s">
        <v>25</v>
      </c>
      <c r="B29" s="39" t="s">
        <v>168</v>
      </c>
    </row>
    <row r="30" spans="1:10" x14ac:dyDescent="0.3">
      <c r="A30" s="63" t="s">
        <v>26</v>
      </c>
      <c r="B30" s="39" t="s">
        <v>169</v>
      </c>
      <c r="D30" s="51" t="s">
        <v>507</v>
      </c>
    </row>
    <row r="31" spans="1:10" x14ac:dyDescent="0.3">
      <c r="A31" s="63" t="s">
        <v>27</v>
      </c>
      <c r="B31" s="39" t="s">
        <v>171</v>
      </c>
      <c r="D31" s="50" t="s">
        <v>483</v>
      </c>
    </row>
    <row r="32" spans="1:10" x14ac:dyDescent="0.3">
      <c r="A32" s="73" t="s">
        <v>574</v>
      </c>
      <c r="B32" s="39" t="s">
        <v>168</v>
      </c>
      <c r="D32" s="50" t="s">
        <v>526</v>
      </c>
    </row>
    <row r="33" spans="1:4" x14ac:dyDescent="0.3">
      <c r="A33" s="73" t="s">
        <v>575</v>
      </c>
      <c r="B33" s="39" t="s">
        <v>168</v>
      </c>
      <c r="D33" s="52" t="s">
        <v>506</v>
      </c>
    </row>
    <row r="34" spans="1:4" x14ac:dyDescent="0.3">
      <c r="A34" s="63" t="s">
        <v>28</v>
      </c>
      <c r="B34" s="39" t="s">
        <v>171</v>
      </c>
      <c r="D34" s="53" t="s">
        <v>534</v>
      </c>
    </row>
    <row r="35" spans="1:4" x14ac:dyDescent="0.3">
      <c r="A35" s="63" t="s">
        <v>29</v>
      </c>
      <c r="B35" s="39" t="s">
        <v>171</v>
      </c>
    </row>
    <row r="36" spans="1:4" x14ac:dyDescent="0.3">
      <c r="A36" s="63" t="s">
        <v>30</v>
      </c>
      <c r="B36" s="39" t="s">
        <v>170</v>
      </c>
    </row>
    <row r="37" spans="1:4" x14ac:dyDescent="0.3">
      <c r="A37" s="63" t="s">
        <v>32</v>
      </c>
      <c r="B37" s="39" t="s">
        <v>170</v>
      </c>
    </row>
    <row r="38" spans="1:4" x14ac:dyDescent="0.3">
      <c r="A38" s="63" t="s">
        <v>31</v>
      </c>
      <c r="B38" s="39" t="s">
        <v>171</v>
      </c>
    </row>
    <row r="39" spans="1:4" x14ac:dyDescent="0.3">
      <c r="A39" s="73" t="s">
        <v>576</v>
      </c>
      <c r="B39" s="39" t="s">
        <v>168</v>
      </c>
    </row>
    <row r="40" spans="1:4" x14ac:dyDescent="0.3">
      <c r="A40" s="63" t="s">
        <v>33</v>
      </c>
      <c r="B40" s="39" t="s">
        <v>168</v>
      </c>
    </row>
    <row r="41" spans="1:4" x14ac:dyDescent="0.3">
      <c r="A41" s="63" t="s">
        <v>36</v>
      </c>
      <c r="B41" s="39" t="s">
        <v>168</v>
      </c>
    </row>
    <row r="42" spans="1:4" x14ac:dyDescent="0.3">
      <c r="A42" s="63" t="s">
        <v>34</v>
      </c>
      <c r="B42" s="39" t="s">
        <v>168</v>
      </c>
    </row>
    <row r="43" spans="1:4" x14ac:dyDescent="0.3">
      <c r="A43" s="63" t="s">
        <v>35</v>
      </c>
      <c r="B43" s="39" t="s">
        <v>168</v>
      </c>
    </row>
    <row r="44" spans="1:4" x14ac:dyDescent="0.3">
      <c r="A44" s="73" t="s">
        <v>577</v>
      </c>
      <c r="B44" s="39" t="s">
        <v>168</v>
      </c>
    </row>
    <row r="45" spans="1:4" x14ac:dyDescent="0.3">
      <c r="A45" s="63" t="s">
        <v>37</v>
      </c>
      <c r="B45" s="39" t="s">
        <v>171</v>
      </c>
    </row>
    <row r="46" spans="1:4" x14ac:dyDescent="0.3">
      <c r="A46" s="73" t="s">
        <v>578</v>
      </c>
      <c r="B46" s="39" t="s">
        <v>168</v>
      </c>
    </row>
    <row r="47" spans="1:4" x14ac:dyDescent="0.3">
      <c r="A47" s="63" t="s">
        <v>38</v>
      </c>
      <c r="B47" s="39" t="s">
        <v>169</v>
      </c>
    </row>
    <row r="48" spans="1:4" x14ac:dyDescent="0.3">
      <c r="A48" s="73" t="s">
        <v>579</v>
      </c>
      <c r="B48" s="39" t="s">
        <v>168</v>
      </c>
    </row>
    <row r="49" spans="1:2" x14ac:dyDescent="0.3">
      <c r="A49" s="73" t="s">
        <v>580</v>
      </c>
      <c r="B49" s="39" t="s">
        <v>168</v>
      </c>
    </row>
    <row r="50" spans="1:2" x14ac:dyDescent="0.3">
      <c r="A50" s="73" t="s">
        <v>581</v>
      </c>
      <c r="B50" s="39" t="s">
        <v>168</v>
      </c>
    </row>
    <row r="51" spans="1:2" x14ac:dyDescent="0.3">
      <c r="A51" s="73" t="s">
        <v>582</v>
      </c>
      <c r="B51" s="39" t="s">
        <v>168</v>
      </c>
    </row>
    <row r="52" spans="1:2" x14ac:dyDescent="0.3">
      <c r="A52" s="63" t="s">
        <v>39</v>
      </c>
      <c r="B52" s="39" t="s">
        <v>170</v>
      </c>
    </row>
    <row r="53" spans="1:2" x14ac:dyDescent="0.3">
      <c r="A53" s="73" t="s">
        <v>583</v>
      </c>
      <c r="B53" s="39" t="s">
        <v>168</v>
      </c>
    </row>
    <row r="54" spans="1:2" x14ac:dyDescent="0.3">
      <c r="A54" s="73" t="s">
        <v>584</v>
      </c>
      <c r="B54" s="39" t="s">
        <v>168</v>
      </c>
    </row>
    <row r="55" spans="1:2" x14ac:dyDescent="0.3">
      <c r="A55" s="63" t="s">
        <v>40</v>
      </c>
      <c r="B55" s="39" t="s">
        <v>172</v>
      </c>
    </row>
    <row r="56" spans="1:2" x14ac:dyDescent="0.3">
      <c r="A56" s="73" t="s">
        <v>585</v>
      </c>
      <c r="B56" s="39" t="s">
        <v>169</v>
      </c>
    </row>
    <row r="57" spans="1:2" x14ac:dyDescent="0.3">
      <c r="A57" s="63" t="s">
        <v>41</v>
      </c>
      <c r="B57" s="39" t="s">
        <v>171</v>
      </c>
    </row>
    <row r="58" spans="1:2" x14ac:dyDescent="0.3">
      <c r="A58" s="63" t="s">
        <v>42</v>
      </c>
      <c r="B58" s="39" t="s">
        <v>169</v>
      </c>
    </row>
    <row r="59" spans="1:2" x14ac:dyDescent="0.3">
      <c r="A59" s="73" t="s">
        <v>586</v>
      </c>
      <c r="B59" s="39" t="s">
        <v>168</v>
      </c>
    </row>
    <row r="60" spans="1:2" x14ac:dyDescent="0.3">
      <c r="A60" s="73" t="s">
        <v>587</v>
      </c>
      <c r="B60" s="39" t="s">
        <v>168</v>
      </c>
    </row>
    <row r="61" spans="1:2" x14ac:dyDescent="0.3">
      <c r="A61" s="73" t="s">
        <v>588</v>
      </c>
      <c r="B61" s="39" t="s">
        <v>168</v>
      </c>
    </row>
    <row r="62" spans="1:2" x14ac:dyDescent="0.3">
      <c r="A62" s="73" t="s">
        <v>589</v>
      </c>
      <c r="B62" s="39" t="s">
        <v>168</v>
      </c>
    </row>
    <row r="63" spans="1:2" x14ac:dyDescent="0.3">
      <c r="A63" s="73" t="s">
        <v>590</v>
      </c>
      <c r="B63" s="39" t="s">
        <v>170</v>
      </c>
    </row>
    <row r="64" spans="1:2" x14ac:dyDescent="0.3">
      <c r="A64" s="63" t="s">
        <v>43</v>
      </c>
      <c r="B64" s="39" t="s">
        <v>171</v>
      </c>
    </row>
    <row r="65" spans="1:2" x14ac:dyDescent="0.3">
      <c r="A65" s="63" t="s">
        <v>44</v>
      </c>
      <c r="B65" s="39" t="s">
        <v>169</v>
      </c>
    </row>
    <row r="66" spans="1:2" x14ac:dyDescent="0.3">
      <c r="A66" s="63" t="s">
        <v>45</v>
      </c>
      <c r="B66" s="39" t="s">
        <v>169</v>
      </c>
    </row>
    <row r="67" spans="1:2" x14ac:dyDescent="0.3">
      <c r="A67" s="63" t="s">
        <v>46</v>
      </c>
      <c r="B67" s="39" t="s">
        <v>171</v>
      </c>
    </row>
    <row r="68" spans="1:2" x14ac:dyDescent="0.3">
      <c r="A68" s="73" t="s">
        <v>591</v>
      </c>
      <c r="B68" s="39" t="s">
        <v>168</v>
      </c>
    </row>
    <row r="69" spans="1:2" x14ac:dyDescent="0.3">
      <c r="A69" s="63" t="s">
        <v>47</v>
      </c>
      <c r="B69" s="39" t="s">
        <v>169</v>
      </c>
    </row>
    <row r="70" spans="1:2" x14ac:dyDescent="0.3">
      <c r="A70" s="73" t="s">
        <v>592</v>
      </c>
      <c r="B70" s="39" t="s">
        <v>168</v>
      </c>
    </row>
    <row r="71" spans="1:2" x14ac:dyDescent="0.3">
      <c r="A71" s="63" t="s">
        <v>48</v>
      </c>
      <c r="B71" s="39" t="s">
        <v>171</v>
      </c>
    </row>
    <row r="72" spans="1:2" x14ac:dyDescent="0.3">
      <c r="A72" s="63" t="s">
        <v>49</v>
      </c>
      <c r="B72" s="39" t="s">
        <v>171</v>
      </c>
    </row>
    <row r="73" spans="1:2" x14ac:dyDescent="0.3">
      <c r="A73" s="63" t="s">
        <v>51</v>
      </c>
      <c r="B73" s="39" t="s">
        <v>168</v>
      </c>
    </row>
    <row r="74" spans="1:2" x14ac:dyDescent="0.3">
      <c r="A74" s="73" t="s">
        <v>593</v>
      </c>
      <c r="B74" s="39" t="s">
        <v>168</v>
      </c>
    </row>
    <row r="75" spans="1:2" x14ac:dyDescent="0.3">
      <c r="A75" s="63" t="s">
        <v>50</v>
      </c>
      <c r="B75" s="39" t="s">
        <v>171</v>
      </c>
    </row>
    <row r="76" spans="1:2" x14ac:dyDescent="0.3">
      <c r="A76" s="63" t="s">
        <v>52</v>
      </c>
      <c r="B76" s="39" t="s">
        <v>169</v>
      </c>
    </row>
    <row r="77" spans="1:2" x14ac:dyDescent="0.3">
      <c r="A77" s="63" t="s">
        <v>53</v>
      </c>
      <c r="B77" s="39" t="s">
        <v>169</v>
      </c>
    </row>
    <row r="78" spans="1:2" x14ac:dyDescent="0.3">
      <c r="A78" s="63" t="s">
        <v>55</v>
      </c>
      <c r="B78" s="39" t="s">
        <v>171</v>
      </c>
    </row>
    <row r="79" spans="1:2" x14ac:dyDescent="0.3">
      <c r="A79" s="73" t="s">
        <v>594</v>
      </c>
      <c r="B79" s="39" t="s">
        <v>168</v>
      </c>
    </row>
    <row r="80" spans="1:2" x14ac:dyDescent="0.3">
      <c r="A80" s="63" t="s">
        <v>54</v>
      </c>
      <c r="B80" s="39" t="s">
        <v>171</v>
      </c>
    </row>
    <row r="81" spans="1:2" x14ac:dyDescent="0.3">
      <c r="A81" s="63" t="s">
        <v>56</v>
      </c>
      <c r="B81" s="39" t="s">
        <v>169</v>
      </c>
    </row>
    <row r="82" spans="1:2" x14ac:dyDescent="0.3">
      <c r="A82" s="73" t="s">
        <v>595</v>
      </c>
      <c r="B82" s="39" t="s">
        <v>169</v>
      </c>
    </row>
    <row r="83" spans="1:2" x14ac:dyDescent="0.3">
      <c r="A83" s="73" t="s">
        <v>596</v>
      </c>
      <c r="B83" s="39" t="s">
        <v>168</v>
      </c>
    </row>
    <row r="84" spans="1:2" x14ac:dyDescent="0.3">
      <c r="A84" s="63" t="s">
        <v>57</v>
      </c>
      <c r="B84" s="39" t="s">
        <v>168</v>
      </c>
    </row>
    <row r="85" spans="1:2" x14ac:dyDescent="0.3">
      <c r="A85" s="73" t="s">
        <v>597</v>
      </c>
      <c r="B85" s="39" t="s">
        <v>168</v>
      </c>
    </row>
    <row r="86" spans="1:2" x14ac:dyDescent="0.3">
      <c r="A86" s="73" t="s">
        <v>598</v>
      </c>
      <c r="B86" s="39" t="s">
        <v>168</v>
      </c>
    </row>
    <row r="87" spans="1:2" x14ac:dyDescent="0.3">
      <c r="A87" s="73" t="s">
        <v>599</v>
      </c>
      <c r="B87" s="39" t="s">
        <v>168</v>
      </c>
    </row>
    <row r="88" spans="1:2" x14ac:dyDescent="0.3">
      <c r="A88" s="63" t="s">
        <v>58</v>
      </c>
      <c r="B88" s="39" t="s">
        <v>171</v>
      </c>
    </row>
    <row r="89" spans="1:2" x14ac:dyDescent="0.3">
      <c r="A89" s="73" t="s">
        <v>600</v>
      </c>
      <c r="B89" s="39" t="s">
        <v>169</v>
      </c>
    </row>
    <row r="90" spans="1:2" x14ac:dyDescent="0.3">
      <c r="A90" s="63" t="s">
        <v>59</v>
      </c>
      <c r="B90" s="39" t="s">
        <v>169</v>
      </c>
    </row>
    <row r="91" spans="1:2" x14ac:dyDescent="0.3">
      <c r="A91" s="63" t="s">
        <v>60</v>
      </c>
      <c r="B91" s="39" t="s">
        <v>171</v>
      </c>
    </row>
    <row r="92" spans="1:2" x14ac:dyDescent="0.3">
      <c r="A92" s="63" t="s">
        <v>61</v>
      </c>
      <c r="B92" s="39" t="s">
        <v>171</v>
      </c>
    </row>
    <row r="93" spans="1:2" x14ac:dyDescent="0.3">
      <c r="A93" s="63" t="s">
        <v>62</v>
      </c>
      <c r="B93" s="39" t="s">
        <v>168</v>
      </c>
    </row>
    <row r="94" spans="1:2" x14ac:dyDescent="0.3">
      <c r="A94" s="63" t="s">
        <v>63</v>
      </c>
      <c r="B94" s="39" t="s">
        <v>169</v>
      </c>
    </row>
    <row r="95" spans="1:2" x14ac:dyDescent="0.3">
      <c r="A95" s="63" t="s">
        <v>63</v>
      </c>
      <c r="B95" s="39" t="s">
        <v>171</v>
      </c>
    </row>
    <row r="96" spans="1:2" x14ac:dyDescent="0.3">
      <c r="A96" s="63" t="s">
        <v>64</v>
      </c>
      <c r="B96" s="39" t="s">
        <v>171</v>
      </c>
    </row>
    <row r="97" spans="1:2" x14ac:dyDescent="0.3">
      <c r="A97" s="73" t="s">
        <v>601</v>
      </c>
      <c r="B97" s="39" t="s">
        <v>169</v>
      </c>
    </row>
    <row r="98" spans="1:2" x14ac:dyDescent="0.3">
      <c r="A98" s="63" t="s">
        <v>65</v>
      </c>
      <c r="B98" s="39" t="s">
        <v>171</v>
      </c>
    </row>
    <row r="99" spans="1:2" x14ac:dyDescent="0.3">
      <c r="A99" s="63" t="s">
        <v>66</v>
      </c>
      <c r="B99" s="39" t="s">
        <v>170</v>
      </c>
    </row>
    <row r="100" spans="1:2" x14ac:dyDescent="0.3">
      <c r="A100" s="73" t="s">
        <v>602</v>
      </c>
      <c r="B100" s="39" t="s">
        <v>168</v>
      </c>
    </row>
    <row r="101" spans="1:2" x14ac:dyDescent="0.3">
      <c r="A101" s="63" t="s">
        <v>67</v>
      </c>
      <c r="B101" s="39" t="s">
        <v>168</v>
      </c>
    </row>
    <row r="102" spans="1:2" x14ac:dyDescent="0.3">
      <c r="A102" s="73" t="s">
        <v>603</v>
      </c>
      <c r="B102" s="39" t="s">
        <v>168</v>
      </c>
    </row>
    <row r="103" spans="1:2" x14ac:dyDescent="0.3">
      <c r="A103" s="63" t="s">
        <v>68</v>
      </c>
      <c r="B103" s="39" t="s">
        <v>169</v>
      </c>
    </row>
    <row r="104" spans="1:2" x14ac:dyDescent="0.3">
      <c r="A104" s="63" t="s">
        <v>69</v>
      </c>
      <c r="B104" s="39" t="s">
        <v>169</v>
      </c>
    </row>
    <row r="105" spans="1:2" x14ac:dyDescent="0.3">
      <c r="A105" s="63" t="s">
        <v>70</v>
      </c>
      <c r="B105" s="39" t="s">
        <v>171</v>
      </c>
    </row>
    <row r="106" spans="1:2" x14ac:dyDescent="0.3">
      <c r="A106" s="73" t="s">
        <v>604</v>
      </c>
      <c r="B106" s="39" t="s">
        <v>168</v>
      </c>
    </row>
    <row r="107" spans="1:2" x14ac:dyDescent="0.3">
      <c r="A107" s="63" t="s">
        <v>71</v>
      </c>
      <c r="B107" s="39" t="s">
        <v>168</v>
      </c>
    </row>
    <row r="108" spans="1:2" x14ac:dyDescent="0.3">
      <c r="A108" s="73" t="s">
        <v>605</v>
      </c>
      <c r="B108" s="39" t="s">
        <v>168</v>
      </c>
    </row>
    <row r="109" spans="1:2" x14ac:dyDescent="0.3">
      <c r="A109" s="63" t="s">
        <v>72</v>
      </c>
      <c r="B109" s="39" t="s">
        <v>169</v>
      </c>
    </row>
    <row r="110" spans="1:2" x14ac:dyDescent="0.3">
      <c r="A110" s="73" t="s">
        <v>606</v>
      </c>
      <c r="B110" s="39" t="s">
        <v>168</v>
      </c>
    </row>
    <row r="111" spans="1:2" x14ac:dyDescent="0.3">
      <c r="A111" s="63" t="s">
        <v>73</v>
      </c>
      <c r="B111" s="39" t="s">
        <v>171</v>
      </c>
    </row>
    <row r="112" spans="1:2" x14ac:dyDescent="0.3">
      <c r="A112" s="63" t="s">
        <v>74</v>
      </c>
      <c r="B112" s="39" t="s">
        <v>172</v>
      </c>
    </row>
    <row r="113" spans="1:2" x14ac:dyDescent="0.3">
      <c r="A113" s="63" t="s">
        <v>75</v>
      </c>
      <c r="B113" s="39" t="s">
        <v>168</v>
      </c>
    </row>
    <row r="114" spans="1:2" x14ac:dyDescent="0.3">
      <c r="A114" s="63" t="s">
        <v>76</v>
      </c>
      <c r="B114" s="39" t="s">
        <v>170</v>
      </c>
    </row>
    <row r="115" spans="1:2" x14ac:dyDescent="0.3">
      <c r="A115" s="73" t="s">
        <v>607</v>
      </c>
      <c r="B115" s="39" t="s">
        <v>168</v>
      </c>
    </row>
    <row r="116" spans="1:2" x14ac:dyDescent="0.3">
      <c r="A116" s="63" t="s">
        <v>77</v>
      </c>
      <c r="B116" s="39" t="s">
        <v>172</v>
      </c>
    </row>
    <row r="117" spans="1:2" x14ac:dyDescent="0.3">
      <c r="A117" s="73" t="s">
        <v>608</v>
      </c>
      <c r="B117" s="39" t="s">
        <v>168</v>
      </c>
    </row>
    <row r="118" spans="1:2" x14ac:dyDescent="0.3">
      <c r="A118" s="63" t="s">
        <v>78</v>
      </c>
      <c r="B118" s="39" t="s">
        <v>169</v>
      </c>
    </row>
    <row r="119" spans="1:2" x14ac:dyDescent="0.3">
      <c r="A119" s="73" t="s">
        <v>609</v>
      </c>
      <c r="B119" s="39" t="s">
        <v>168</v>
      </c>
    </row>
    <row r="120" spans="1:2" x14ac:dyDescent="0.3">
      <c r="A120" s="63" t="s">
        <v>79</v>
      </c>
      <c r="B120" s="39" t="s">
        <v>171</v>
      </c>
    </row>
    <row r="121" spans="1:2" x14ac:dyDescent="0.3">
      <c r="A121" s="73" t="s">
        <v>610</v>
      </c>
      <c r="B121" s="39" t="s">
        <v>168</v>
      </c>
    </row>
    <row r="122" spans="1:2" x14ac:dyDescent="0.3">
      <c r="A122" s="63" t="s">
        <v>80</v>
      </c>
      <c r="B122" s="39" t="s">
        <v>170</v>
      </c>
    </row>
    <row r="123" spans="1:2" x14ac:dyDescent="0.3">
      <c r="A123" s="63" t="s">
        <v>81</v>
      </c>
      <c r="B123" s="39" t="s">
        <v>171</v>
      </c>
    </row>
    <row r="124" spans="1:2" x14ac:dyDescent="0.3">
      <c r="A124" s="73" t="s">
        <v>611</v>
      </c>
      <c r="B124" s="39" t="s">
        <v>170</v>
      </c>
    </row>
    <row r="125" spans="1:2" x14ac:dyDescent="0.3">
      <c r="A125" s="63" t="s">
        <v>82</v>
      </c>
      <c r="B125" s="39" t="s">
        <v>171</v>
      </c>
    </row>
    <row r="126" spans="1:2" x14ac:dyDescent="0.3">
      <c r="A126" s="63" t="s">
        <v>83</v>
      </c>
      <c r="B126" s="39" t="s">
        <v>169</v>
      </c>
    </row>
    <row r="127" spans="1:2" x14ac:dyDescent="0.3">
      <c r="A127" s="63" t="s">
        <v>84</v>
      </c>
      <c r="B127" s="39" t="s">
        <v>172</v>
      </c>
    </row>
    <row r="128" spans="1:2" x14ac:dyDescent="0.3">
      <c r="A128" s="63" t="s">
        <v>85</v>
      </c>
      <c r="B128" s="39" t="s">
        <v>172</v>
      </c>
    </row>
    <row r="129" spans="1:2" x14ac:dyDescent="0.3">
      <c r="A129" s="63" t="s">
        <v>86</v>
      </c>
      <c r="B129" s="39" t="s">
        <v>169</v>
      </c>
    </row>
    <row r="130" spans="1:2" x14ac:dyDescent="0.3">
      <c r="A130" s="63" t="s">
        <v>87</v>
      </c>
      <c r="B130" s="39" t="s">
        <v>169</v>
      </c>
    </row>
    <row r="131" spans="1:2" x14ac:dyDescent="0.3">
      <c r="A131" s="63" t="s">
        <v>88</v>
      </c>
      <c r="B131" s="39" t="s">
        <v>169</v>
      </c>
    </row>
    <row r="132" spans="1:2" x14ac:dyDescent="0.3">
      <c r="A132" s="73" t="s">
        <v>612</v>
      </c>
      <c r="B132" s="39" t="s">
        <v>169</v>
      </c>
    </row>
    <row r="133" spans="1:2" x14ac:dyDescent="0.3">
      <c r="A133" s="63" t="s">
        <v>89</v>
      </c>
      <c r="B133" s="39" t="s">
        <v>169</v>
      </c>
    </row>
    <row r="134" spans="1:2" x14ac:dyDescent="0.3">
      <c r="A134" s="63" t="s">
        <v>90</v>
      </c>
      <c r="B134" s="39" t="s">
        <v>171</v>
      </c>
    </row>
    <row r="135" spans="1:2" x14ac:dyDescent="0.3">
      <c r="A135" s="63" t="s">
        <v>91</v>
      </c>
      <c r="B135" s="39" t="s">
        <v>171</v>
      </c>
    </row>
    <row r="136" spans="1:2" x14ac:dyDescent="0.3">
      <c r="A136" s="73" t="s">
        <v>613</v>
      </c>
      <c r="B136" s="39" t="s">
        <v>168</v>
      </c>
    </row>
    <row r="137" spans="1:2" x14ac:dyDescent="0.3">
      <c r="A137" s="73" t="s">
        <v>614</v>
      </c>
      <c r="B137" s="39" t="s">
        <v>168</v>
      </c>
    </row>
    <row r="138" spans="1:2" x14ac:dyDescent="0.3">
      <c r="A138" s="73" t="s">
        <v>615</v>
      </c>
      <c r="B138" s="39" t="s">
        <v>168</v>
      </c>
    </row>
    <row r="139" spans="1:2" x14ac:dyDescent="0.3">
      <c r="A139" s="73" t="s">
        <v>616</v>
      </c>
      <c r="B139" s="39" t="s">
        <v>168</v>
      </c>
    </row>
    <row r="140" spans="1:2" x14ac:dyDescent="0.3">
      <c r="A140" s="63" t="s">
        <v>92</v>
      </c>
      <c r="B140" s="39" t="s">
        <v>168</v>
      </c>
    </row>
    <row r="141" spans="1:2" x14ac:dyDescent="0.3">
      <c r="A141" s="63" t="s">
        <v>93</v>
      </c>
      <c r="B141" s="39" t="s">
        <v>168</v>
      </c>
    </row>
    <row r="142" spans="1:2" x14ac:dyDescent="0.3">
      <c r="A142" s="63" t="s">
        <v>94</v>
      </c>
      <c r="B142" s="39" t="s">
        <v>171</v>
      </c>
    </row>
    <row r="143" spans="1:2" x14ac:dyDescent="0.3">
      <c r="A143" s="63" t="s">
        <v>95</v>
      </c>
      <c r="B143" s="39" t="s">
        <v>173</v>
      </c>
    </row>
    <row r="144" spans="1:2" x14ac:dyDescent="0.3">
      <c r="A144" s="63" t="s">
        <v>96</v>
      </c>
      <c r="B144" s="39" t="s">
        <v>168</v>
      </c>
    </row>
    <row r="145" spans="1:2" x14ac:dyDescent="0.3">
      <c r="A145" s="63" t="s">
        <v>97</v>
      </c>
      <c r="B145" s="39" t="s">
        <v>169</v>
      </c>
    </row>
    <row r="146" spans="1:2" x14ac:dyDescent="0.3">
      <c r="A146" s="63" t="s">
        <v>98</v>
      </c>
      <c r="B146" s="39" t="s">
        <v>168</v>
      </c>
    </row>
    <row r="147" spans="1:2" x14ac:dyDescent="0.3">
      <c r="A147" s="63" t="s">
        <v>99</v>
      </c>
      <c r="B147" s="39" t="s">
        <v>168</v>
      </c>
    </row>
    <row r="148" spans="1:2" x14ac:dyDescent="0.3">
      <c r="A148" s="63" t="s">
        <v>100</v>
      </c>
      <c r="B148" s="39" t="s">
        <v>169</v>
      </c>
    </row>
    <row r="149" spans="1:2" x14ac:dyDescent="0.3">
      <c r="A149" s="63" t="s">
        <v>101</v>
      </c>
      <c r="B149" s="39" t="s">
        <v>171</v>
      </c>
    </row>
    <row r="150" spans="1:2" x14ac:dyDescent="0.3">
      <c r="A150" s="63" t="s">
        <v>102</v>
      </c>
      <c r="B150" s="39" t="s">
        <v>168</v>
      </c>
    </row>
    <row r="151" spans="1:2" x14ac:dyDescent="0.3">
      <c r="A151" s="63" t="s">
        <v>103</v>
      </c>
      <c r="B151" s="39" t="s">
        <v>169</v>
      </c>
    </row>
    <row r="152" spans="1:2" x14ac:dyDescent="0.3">
      <c r="A152" s="63" t="s">
        <v>104</v>
      </c>
      <c r="B152" s="39" t="s">
        <v>171</v>
      </c>
    </row>
    <row r="153" spans="1:2" x14ac:dyDescent="0.3">
      <c r="A153" s="63" t="s">
        <v>105</v>
      </c>
      <c r="B153" s="39" t="s">
        <v>171</v>
      </c>
    </row>
    <row r="154" spans="1:2" x14ac:dyDescent="0.3">
      <c r="A154" s="63" t="s">
        <v>106</v>
      </c>
      <c r="B154" s="39" t="s">
        <v>169</v>
      </c>
    </row>
    <row r="155" spans="1:2" x14ac:dyDescent="0.3">
      <c r="A155" s="73" t="s">
        <v>617</v>
      </c>
      <c r="B155" s="39" t="s">
        <v>168</v>
      </c>
    </row>
    <row r="156" spans="1:2" x14ac:dyDescent="0.3">
      <c r="A156" s="63" t="s">
        <v>107</v>
      </c>
      <c r="B156" s="39" t="s">
        <v>169</v>
      </c>
    </row>
    <row r="157" spans="1:2" x14ac:dyDescent="0.3">
      <c r="A157" s="63" t="s">
        <v>108</v>
      </c>
      <c r="B157" s="39" t="s">
        <v>168</v>
      </c>
    </row>
    <row r="158" spans="1:2" x14ac:dyDescent="0.3">
      <c r="A158" s="73" t="s">
        <v>618</v>
      </c>
      <c r="B158" s="39" t="s">
        <v>168</v>
      </c>
    </row>
    <row r="159" spans="1:2" x14ac:dyDescent="0.3">
      <c r="A159" s="63" t="s">
        <v>109</v>
      </c>
      <c r="B159" s="39" t="s">
        <v>171</v>
      </c>
    </row>
    <row r="160" spans="1:2" x14ac:dyDescent="0.3">
      <c r="A160" s="63" t="s">
        <v>110</v>
      </c>
      <c r="B160" s="39" t="s">
        <v>169</v>
      </c>
    </row>
    <row r="161" spans="1:2" x14ac:dyDescent="0.3">
      <c r="A161" s="63" t="s">
        <v>111</v>
      </c>
      <c r="B161" s="39" t="s">
        <v>169</v>
      </c>
    </row>
    <row r="162" spans="1:2" x14ac:dyDescent="0.3">
      <c r="A162" s="73" t="s">
        <v>619</v>
      </c>
      <c r="B162" s="39" t="s">
        <v>168</v>
      </c>
    </row>
    <row r="163" spans="1:2" x14ac:dyDescent="0.3">
      <c r="A163" s="63" t="s">
        <v>112</v>
      </c>
      <c r="B163" s="39" t="s">
        <v>169</v>
      </c>
    </row>
    <row r="164" spans="1:2" x14ac:dyDescent="0.3">
      <c r="A164" s="63" t="s">
        <v>113</v>
      </c>
      <c r="B164" s="39" t="s">
        <v>171</v>
      </c>
    </row>
    <row r="165" spans="1:2" x14ac:dyDescent="0.3">
      <c r="A165" s="63" t="s">
        <v>114</v>
      </c>
      <c r="B165" s="39" t="s">
        <v>172</v>
      </c>
    </row>
    <row r="166" spans="1:2" x14ac:dyDescent="0.3">
      <c r="A166" s="63" t="s">
        <v>115</v>
      </c>
      <c r="B166" s="39" t="s">
        <v>174</v>
      </c>
    </row>
    <row r="167" spans="1:2" x14ac:dyDescent="0.3">
      <c r="A167" s="63" t="s">
        <v>116</v>
      </c>
      <c r="B167" s="39" t="s">
        <v>171</v>
      </c>
    </row>
    <row r="168" spans="1:2" x14ac:dyDescent="0.3">
      <c r="A168" s="73" t="s">
        <v>620</v>
      </c>
      <c r="B168" s="39" t="s">
        <v>168</v>
      </c>
    </row>
    <row r="169" spans="1:2" x14ac:dyDescent="0.3">
      <c r="A169" s="73" t="s">
        <v>621</v>
      </c>
      <c r="B169" s="39" t="s">
        <v>168</v>
      </c>
    </row>
    <row r="170" spans="1:2" x14ac:dyDescent="0.3">
      <c r="A170" s="73" t="s">
        <v>622</v>
      </c>
      <c r="B170" s="39" t="s">
        <v>168</v>
      </c>
    </row>
    <row r="171" spans="1:2" x14ac:dyDescent="0.3">
      <c r="A171" s="63" t="s">
        <v>117</v>
      </c>
      <c r="B171" s="39" t="s">
        <v>169</v>
      </c>
    </row>
    <row r="172" spans="1:2" x14ac:dyDescent="0.3">
      <c r="A172" s="63" t="s">
        <v>118</v>
      </c>
      <c r="B172" s="39" t="s">
        <v>171</v>
      </c>
    </row>
    <row r="173" spans="1:2" x14ac:dyDescent="0.3">
      <c r="A173" s="73" t="s">
        <v>623</v>
      </c>
      <c r="B173" s="39" t="s">
        <v>168</v>
      </c>
    </row>
    <row r="174" spans="1:2" x14ac:dyDescent="0.3">
      <c r="A174" s="73" t="s">
        <v>624</v>
      </c>
      <c r="B174" s="39" t="s">
        <v>168</v>
      </c>
    </row>
    <row r="175" spans="1:2" x14ac:dyDescent="0.3">
      <c r="A175" s="63" t="s">
        <v>119</v>
      </c>
      <c r="B175" s="39" t="s">
        <v>168</v>
      </c>
    </row>
    <row r="176" spans="1:2" x14ac:dyDescent="0.3">
      <c r="A176" s="63" t="s">
        <v>120</v>
      </c>
      <c r="B176" s="39" t="s">
        <v>168</v>
      </c>
    </row>
    <row r="177" spans="1:2" x14ac:dyDescent="0.3">
      <c r="A177" s="63" t="s">
        <v>121</v>
      </c>
      <c r="B177" s="39" t="s">
        <v>171</v>
      </c>
    </row>
    <row r="178" spans="1:2" x14ac:dyDescent="0.3">
      <c r="A178" s="63" t="s">
        <v>122</v>
      </c>
      <c r="B178" s="39" t="s">
        <v>171</v>
      </c>
    </row>
    <row r="179" spans="1:2" x14ac:dyDescent="0.3">
      <c r="A179" s="73" t="s">
        <v>625</v>
      </c>
      <c r="B179" s="39" t="s">
        <v>170</v>
      </c>
    </row>
    <row r="180" spans="1:2" x14ac:dyDescent="0.3">
      <c r="A180" s="63" t="s">
        <v>123</v>
      </c>
      <c r="B180" s="39" t="s">
        <v>168</v>
      </c>
    </row>
    <row r="181" spans="1:2" x14ac:dyDescent="0.3">
      <c r="A181" s="63" t="s">
        <v>124</v>
      </c>
      <c r="B181" s="39" t="s">
        <v>168</v>
      </c>
    </row>
    <row r="182" spans="1:2" x14ac:dyDescent="0.3">
      <c r="A182" s="63" t="s">
        <v>125</v>
      </c>
      <c r="B182" s="39" t="s">
        <v>169</v>
      </c>
    </row>
    <row r="183" spans="1:2" x14ac:dyDescent="0.3">
      <c r="A183" s="63" t="s">
        <v>126</v>
      </c>
      <c r="B183" s="39" t="s">
        <v>169</v>
      </c>
    </row>
    <row r="184" spans="1:2" x14ac:dyDescent="0.3">
      <c r="A184" s="63" t="s">
        <v>127</v>
      </c>
      <c r="B184" s="39" t="s">
        <v>168</v>
      </c>
    </row>
    <row r="185" spans="1:2" x14ac:dyDescent="0.3">
      <c r="A185" s="73" t="s">
        <v>626</v>
      </c>
      <c r="B185" s="39" t="s">
        <v>169</v>
      </c>
    </row>
    <row r="186" spans="1:2" x14ac:dyDescent="0.3">
      <c r="A186" s="73" t="s">
        <v>627</v>
      </c>
      <c r="B186" s="39" t="s">
        <v>169</v>
      </c>
    </row>
    <row r="187" spans="1:2" x14ac:dyDescent="0.3">
      <c r="A187" s="63" t="s">
        <v>128</v>
      </c>
      <c r="B187" s="39" t="s">
        <v>169</v>
      </c>
    </row>
    <row r="188" spans="1:2" x14ac:dyDescent="0.3">
      <c r="A188" s="63" t="s">
        <v>129</v>
      </c>
      <c r="B188" s="39" t="s">
        <v>169</v>
      </c>
    </row>
    <row r="189" spans="1:2" x14ac:dyDescent="0.3">
      <c r="A189" s="73" t="s">
        <v>628</v>
      </c>
      <c r="B189" s="39" t="s">
        <v>168</v>
      </c>
    </row>
    <row r="190" spans="1:2" x14ac:dyDescent="0.3">
      <c r="A190" s="63" t="s">
        <v>130</v>
      </c>
      <c r="B190" s="39" t="s">
        <v>171</v>
      </c>
    </row>
    <row r="191" spans="1:2" x14ac:dyDescent="0.3">
      <c r="A191" s="63" t="s">
        <v>131</v>
      </c>
      <c r="B191" s="39" t="s">
        <v>171</v>
      </c>
    </row>
    <row r="192" spans="1:2" x14ac:dyDescent="0.3">
      <c r="A192" s="73" t="s">
        <v>629</v>
      </c>
      <c r="B192" s="39" t="s">
        <v>168</v>
      </c>
    </row>
    <row r="193" spans="1:2" x14ac:dyDescent="0.3">
      <c r="A193" s="73" t="s">
        <v>630</v>
      </c>
      <c r="B193" s="39" t="s">
        <v>168</v>
      </c>
    </row>
    <row r="194" spans="1:2" x14ac:dyDescent="0.3">
      <c r="A194" s="63" t="s">
        <v>132</v>
      </c>
      <c r="B194" s="39" t="s">
        <v>171</v>
      </c>
    </row>
    <row r="195" spans="1:2" x14ac:dyDescent="0.3">
      <c r="A195" s="73" t="s">
        <v>631</v>
      </c>
      <c r="B195" s="39" t="s">
        <v>169</v>
      </c>
    </row>
    <row r="196" spans="1:2" x14ac:dyDescent="0.3">
      <c r="A196" s="63" t="s">
        <v>133</v>
      </c>
      <c r="B196" s="39" t="s">
        <v>168</v>
      </c>
    </row>
    <row r="197" spans="1:2" x14ac:dyDescent="0.3">
      <c r="A197" s="63" t="s">
        <v>134</v>
      </c>
      <c r="B197" s="39" t="s">
        <v>170</v>
      </c>
    </row>
    <row r="198" spans="1:2" x14ac:dyDescent="0.3">
      <c r="A198" s="73" t="s">
        <v>632</v>
      </c>
      <c r="B198" s="39" t="s">
        <v>169</v>
      </c>
    </row>
    <row r="199" spans="1:2" x14ac:dyDescent="0.3">
      <c r="A199" s="63" t="s">
        <v>135</v>
      </c>
      <c r="B199" s="39" t="s">
        <v>169</v>
      </c>
    </row>
    <row r="200" spans="1:2" x14ac:dyDescent="0.3">
      <c r="A200" s="73" t="s">
        <v>633</v>
      </c>
      <c r="B200" s="39" t="s">
        <v>168</v>
      </c>
    </row>
    <row r="201" spans="1:2" x14ac:dyDescent="0.3">
      <c r="A201" s="63" t="s">
        <v>136</v>
      </c>
      <c r="B201" s="39" t="s">
        <v>168</v>
      </c>
    </row>
    <row r="202" spans="1:2" x14ac:dyDescent="0.3">
      <c r="A202" s="73" t="s">
        <v>634</v>
      </c>
      <c r="B202" s="39" t="s">
        <v>168</v>
      </c>
    </row>
    <row r="203" spans="1:2" x14ac:dyDescent="0.3">
      <c r="A203" s="63" t="s">
        <v>137</v>
      </c>
      <c r="B203" s="39" t="s">
        <v>169</v>
      </c>
    </row>
    <row r="204" spans="1:2" x14ac:dyDescent="0.3">
      <c r="A204" s="73" t="s">
        <v>635</v>
      </c>
      <c r="B204" s="39" t="s">
        <v>168</v>
      </c>
    </row>
    <row r="205" spans="1:2" x14ac:dyDescent="0.3">
      <c r="A205" s="73" t="s">
        <v>636</v>
      </c>
      <c r="B205" s="39" t="s">
        <v>168</v>
      </c>
    </row>
    <row r="206" spans="1:2" x14ac:dyDescent="0.3">
      <c r="A206" s="63" t="s">
        <v>138</v>
      </c>
      <c r="B206" s="39" t="s">
        <v>168</v>
      </c>
    </row>
    <row r="207" spans="1:2" x14ac:dyDescent="0.3">
      <c r="A207" s="63" t="s">
        <v>139</v>
      </c>
      <c r="B207" s="39" t="s">
        <v>171</v>
      </c>
    </row>
    <row r="208" spans="1:2" x14ac:dyDescent="0.3">
      <c r="A208" s="63" t="s">
        <v>140</v>
      </c>
      <c r="B208" s="39" t="s">
        <v>168</v>
      </c>
    </row>
    <row r="209" spans="1:2" x14ac:dyDescent="0.3">
      <c r="A209" s="63" t="s">
        <v>141</v>
      </c>
      <c r="B209" s="39" t="s">
        <v>169</v>
      </c>
    </row>
    <row r="210" spans="1:2" x14ac:dyDescent="0.3">
      <c r="A210" s="63" t="s">
        <v>142</v>
      </c>
      <c r="B210" s="39" t="s">
        <v>171</v>
      </c>
    </row>
    <row r="211" spans="1:2" x14ac:dyDescent="0.3">
      <c r="A211" s="63" t="s">
        <v>143</v>
      </c>
      <c r="B211" s="39" t="s">
        <v>169</v>
      </c>
    </row>
    <row r="212" spans="1:2" x14ac:dyDescent="0.3">
      <c r="A212" s="73" t="s">
        <v>637</v>
      </c>
      <c r="B212" s="39" t="s">
        <v>168</v>
      </c>
    </row>
    <row r="213" spans="1:2" x14ac:dyDescent="0.3">
      <c r="A213" s="63" t="s">
        <v>144</v>
      </c>
      <c r="B213" s="39" t="s">
        <v>168</v>
      </c>
    </row>
    <row r="214" spans="1:2" x14ac:dyDescent="0.3">
      <c r="A214" s="63" t="s">
        <v>145</v>
      </c>
      <c r="B214" s="39" t="s">
        <v>168</v>
      </c>
    </row>
    <row r="215" spans="1:2" x14ac:dyDescent="0.3">
      <c r="A215" s="63" t="s">
        <v>146</v>
      </c>
      <c r="B215" s="39" t="s">
        <v>171</v>
      </c>
    </row>
    <row r="216" spans="1:2" x14ac:dyDescent="0.3">
      <c r="A216" s="63" t="s">
        <v>147</v>
      </c>
      <c r="B216" s="39" t="s">
        <v>171</v>
      </c>
    </row>
    <row r="217" spans="1:2" x14ac:dyDescent="0.3">
      <c r="A217" s="63" t="s">
        <v>148</v>
      </c>
      <c r="B217" s="39" t="s">
        <v>168</v>
      </c>
    </row>
    <row r="218" spans="1:2" x14ac:dyDescent="0.3">
      <c r="A218" s="63" t="s">
        <v>149</v>
      </c>
      <c r="B218" s="39" t="s">
        <v>169</v>
      </c>
    </row>
    <row r="219" spans="1:2" x14ac:dyDescent="0.3">
      <c r="A219" s="63" t="s">
        <v>150</v>
      </c>
      <c r="B219" s="39" t="s">
        <v>168</v>
      </c>
    </row>
    <row r="220" spans="1:2" x14ac:dyDescent="0.3">
      <c r="A220" s="63" t="s">
        <v>151</v>
      </c>
      <c r="B220" s="39" t="s">
        <v>169</v>
      </c>
    </row>
    <row r="221" spans="1:2" x14ac:dyDescent="0.3">
      <c r="A221" s="63" t="s">
        <v>152</v>
      </c>
      <c r="B221" s="39" t="s">
        <v>169</v>
      </c>
    </row>
    <row r="222" spans="1:2" x14ac:dyDescent="0.3">
      <c r="A222" s="73" t="s">
        <v>638</v>
      </c>
      <c r="B222" s="39" t="s">
        <v>169</v>
      </c>
    </row>
    <row r="223" spans="1:2" x14ac:dyDescent="0.3">
      <c r="A223" s="63" t="s">
        <v>153</v>
      </c>
      <c r="B223" s="39" t="s">
        <v>168</v>
      </c>
    </row>
    <row r="224" spans="1:2" x14ac:dyDescent="0.3">
      <c r="A224" s="63" t="s">
        <v>154</v>
      </c>
      <c r="B224" s="39" t="s">
        <v>172</v>
      </c>
    </row>
    <row r="225" spans="1:2" x14ac:dyDescent="0.3">
      <c r="A225" s="73" t="s">
        <v>639</v>
      </c>
      <c r="B225" s="39" t="s">
        <v>168</v>
      </c>
    </row>
    <row r="226" spans="1:2" x14ac:dyDescent="0.3">
      <c r="A226" s="63" t="s">
        <v>155</v>
      </c>
      <c r="B226" s="39" t="s">
        <v>171</v>
      </c>
    </row>
    <row r="227" spans="1:2" x14ac:dyDescent="0.3">
      <c r="A227" s="73" t="s">
        <v>640</v>
      </c>
      <c r="B227" s="39" t="s">
        <v>168</v>
      </c>
    </row>
    <row r="228" spans="1:2" x14ac:dyDescent="0.3">
      <c r="A228" s="63" t="s">
        <v>156</v>
      </c>
      <c r="B228" s="39" t="s">
        <v>169</v>
      </c>
    </row>
    <row r="229" spans="1:2" x14ac:dyDescent="0.3">
      <c r="A229" s="63" t="s">
        <v>157</v>
      </c>
      <c r="B229" s="39" t="s">
        <v>169</v>
      </c>
    </row>
    <row r="230" spans="1:2" x14ac:dyDescent="0.3">
      <c r="A230" s="63" t="s">
        <v>159</v>
      </c>
      <c r="B230" s="39" t="s">
        <v>171</v>
      </c>
    </row>
    <row r="231" spans="1:2" x14ac:dyDescent="0.3">
      <c r="A231" s="73" t="s">
        <v>641</v>
      </c>
      <c r="B231" s="39" t="s">
        <v>168</v>
      </c>
    </row>
    <row r="232" spans="1:2" x14ac:dyDescent="0.3">
      <c r="A232" s="63" t="s">
        <v>158</v>
      </c>
      <c r="B232" s="39" t="s">
        <v>169</v>
      </c>
    </row>
    <row r="233" spans="1:2" x14ac:dyDescent="0.3">
      <c r="A233" s="63" t="s">
        <v>160</v>
      </c>
      <c r="B233" s="39" t="s">
        <v>168</v>
      </c>
    </row>
    <row r="234" spans="1:2" x14ac:dyDescent="0.3">
      <c r="A234" s="63" t="s">
        <v>161</v>
      </c>
      <c r="B234" s="39" t="s">
        <v>171</v>
      </c>
    </row>
    <row r="235" spans="1:2" x14ac:dyDescent="0.3">
      <c r="A235" s="63" t="s">
        <v>162</v>
      </c>
      <c r="B235" s="39" t="s">
        <v>171</v>
      </c>
    </row>
    <row r="236" spans="1:2" x14ac:dyDescent="0.3">
      <c r="A236" s="63" t="s">
        <v>164</v>
      </c>
      <c r="B236" s="39" t="s">
        <v>168</v>
      </c>
    </row>
    <row r="237" spans="1:2" x14ac:dyDescent="0.3">
      <c r="A237" s="63" t="s">
        <v>163</v>
      </c>
      <c r="B237" s="39" t="s">
        <v>168</v>
      </c>
    </row>
    <row r="238" spans="1:2" x14ac:dyDescent="0.3">
      <c r="A238" s="73" t="s">
        <v>642</v>
      </c>
      <c r="B238" s="39" t="s">
        <v>168</v>
      </c>
    </row>
    <row r="239" spans="1:2" x14ac:dyDescent="0.3">
      <c r="A239" s="63" t="s">
        <v>165</v>
      </c>
      <c r="B239" s="39" t="s">
        <v>173</v>
      </c>
    </row>
    <row r="240" spans="1:2" x14ac:dyDescent="0.3">
      <c r="A240" s="63" t="s">
        <v>167</v>
      </c>
      <c r="B240" s="39" t="s">
        <v>169</v>
      </c>
    </row>
    <row r="241" spans="1:2" x14ac:dyDescent="0.3">
      <c r="A241" s="73" t="s">
        <v>643</v>
      </c>
      <c r="B241" s="39" t="s">
        <v>168</v>
      </c>
    </row>
    <row r="242" spans="1:2" x14ac:dyDescent="0.3">
      <c r="A242" s="63" t="s">
        <v>166</v>
      </c>
      <c r="B242" s="39" t="s">
        <v>171</v>
      </c>
    </row>
  </sheetData>
  <sheetProtection password="C737" sheet="1" objects="1" scenarios="1" sort="0" autoFilter="0" pivotTables="0"/>
  <mergeCells count="2">
    <mergeCell ref="D13:D14"/>
    <mergeCell ref="E13:G13"/>
  </mergeCells>
  <pageMargins left="0.7" right="0.7" top="0.75" bottom="0.75" header="0.3" footer="0.3"/>
  <pageSetup paperSize="9" orientation="landscape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1"/>
  <sheetViews>
    <sheetView topLeftCell="I1" zoomScale="70" zoomScaleNormal="70" workbookViewId="0">
      <selection activeCell="U6" sqref="U6"/>
    </sheetView>
  </sheetViews>
  <sheetFormatPr defaultRowHeight="16.5" x14ac:dyDescent="0.3"/>
  <cols>
    <col min="1" max="1" width="28.7109375" style="2" bestFit="1" customWidth="1"/>
    <col min="2" max="3" width="11.85546875" style="2" customWidth="1"/>
    <col min="4" max="4" width="15.85546875" style="2" bestFit="1" customWidth="1"/>
    <col min="5" max="9" width="11.85546875" style="2" customWidth="1"/>
    <col min="10" max="10" width="18.42578125" style="2" bestFit="1" customWidth="1"/>
    <col min="11" max="11" width="9.140625" style="2"/>
    <col min="12" max="12" width="24.5703125" style="2" bestFit="1" customWidth="1"/>
    <col min="13" max="13" width="10.5703125" style="2" bestFit="1" customWidth="1"/>
    <col min="14" max="14" width="11.5703125" style="2" bestFit="1" customWidth="1"/>
    <col min="15" max="15" width="10.5703125" style="2" bestFit="1" customWidth="1"/>
    <col min="16" max="16" width="11.5703125" style="2" bestFit="1" customWidth="1"/>
    <col min="17" max="17" width="10.5703125" style="2" bestFit="1" customWidth="1"/>
    <col min="18" max="18" width="18.42578125" style="2" bestFit="1" customWidth="1"/>
    <col min="19" max="19" width="15.140625" style="2" customWidth="1"/>
    <col min="20" max="20" width="25.28515625" style="2" bestFit="1" customWidth="1"/>
    <col min="21" max="21" width="10.5703125" style="2" bestFit="1" customWidth="1"/>
    <col min="22" max="22" width="11.5703125" style="2" bestFit="1" customWidth="1"/>
    <col min="23" max="23" width="10.5703125" style="2" bestFit="1" customWidth="1"/>
    <col min="24" max="24" width="11.5703125" style="2" bestFit="1" customWidth="1"/>
    <col min="25" max="25" width="10.5703125" style="2" bestFit="1" customWidth="1"/>
    <col min="26" max="27" width="9" style="2" bestFit="1" customWidth="1"/>
    <col min="28" max="28" width="18.42578125" style="2" bestFit="1" customWidth="1"/>
    <col min="29" max="29" width="9.140625" style="2"/>
    <col min="30" max="30" width="14.5703125" style="2" bestFit="1" customWidth="1"/>
    <col min="31" max="31" width="10.5703125" style="2" bestFit="1" customWidth="1"/>
    <col min="32" max="32" width="11.5703125" style="2" bestFit="1" customWidth="1"/>
    <col min="33" max="33" width="10.5703125" style="2" bestFit="1" customWidth="1"/>
    <col min="34" max="34" width="11.5703125" style="2" bestFit="1" customWidth="1"/>
    <col min="35" max="35" width="10.5703125" style="2" bestFit="1" customWidth="1"/>
    <col min="36" max="37" width="9" style="2" bestFit="1" customWidth="1"/>
    <col min="38" max="38" width="18.42578125" style="2" bestFit="1" customWidth="1"/>
    <col min="39" max="16384" width="9.140625" style="2"/>
  </cols>
  <sheetData>
    <row r="1" spans="1:38" x14ac:dyDescent="0.3">
      <c r="A1" s="2" t="s">
        <v>512</v>
      </c>
      <c r="L1" s="38" t="s">
        <v>513</v>
      </c>
      <c r="T1" s="38" t="s">
        <v>514</v>
      </c>
      <c r="U1" s="38"/>
      <c r="V1" s="38"/>
      <c r="W1" s="38"/>
      <c r="X1" s="38"/>
      <c r="Y1" s="38"/>
      <c r="Z1" s="38"/>
      <c r="AA1" s="38"/>
      <c r="AB1" s="38"/>
      <c r="AD1" s="38" t="s">
        <v>531</v>
      </c>
      <c r="AE1" s="38"/>
      <c r="AF1" s="38"/>
      <c r="AG1" s="38"/>
      <c r="AH1" s="38"/>
      <c r="AI1" s="38"/>
      <c r="AJ1" s="38"/>
      <c r="AK1" s="38"/>
      <c r="AL1" s="38"/>
    </row>
    <row r="2" spans="1:38" x14ac:dyDescent="0.3">
      <c r="A2" s="2" t="s">
        <v>236</v>
      </c>
      <c r="B2" s="2" t="s">
        <v>206</v>
      </c>
      <c r="C2" s="2" t="s">
        <v>207</v>
      </c>
      <c r="D2" s="2" t="s">
        <v>326</v>
      </c>
      <c r="E2" s="2" t="s">
        <v>208</v>
      </c>
      <c r="F2" s="2" t="s">
        <v>209</v>
      </c>
      <c r="G2" s="2" t="s">
        <v>212</v>
      </c>
      <c r="H2" s="2" t="s">
        <v>210</v>
      </c>
      <c r="I2" s="2" t="s">
        <v>211</v>
      </c>
      <c r="J2" s="2" t="s">
        <v>299</v>
      </c>
      <c r="L2" s="38" t="s">
        <v>236</v>
      </c>
      <c r="M2" s="38" t="s">
        <v>206</v>
      </c>
      <c r="N2" s="38" t="s">
        <v>207</v>
      </c>
      <c r="O2" s="38" t="s">
        <v>208</v>
      </c>
      <c r="P2" s="38" t="s">
        <v>209</v>
      </c>
      <c r="Q2" s="38" t="s">
        <v>212</v>
      </c>
      <c r="R2" s="38" t="s">
        <v>299</v>
      </c>
      <c r="T2" s="38" t="s">
        <v>236</v>
      </c>
      <c r="U2" s="38" t="s">
        <v>206</v>
      </c>
      <c r="V2" s="38" t="s">
        <v>207</v>
      </c>
      <c r="W2" s="38" t="s">
        <v>208</v>
      </c>
      <c r="X2" s="38" t="s">
        <v>209</v>
      </c>
      <c r="Y2" s="38" t="s">
        <v>212</v>
      </c>
      <c r="Z2" s="38" t="s">
        <v>210</v>
      </c>
      <c r="AA2" s="38" t="s">
        <v>211</v>
      </c>
      <c r="AB2" s="38" t="s">
        <v>299</v>
      </c>
      <c r="AD2" s="38" t="s">
        <v>236</v>
      </c>
      <c r="AE2" s="38" t="s">
        <v>206</v>
      </c>
      <c r="AF2" s="38" t="s">
        <v>207</v>
      </c>
      <c r="AG2" s="38" t="s">
        <v>208</v>
      </c>
      <c r="AH2" s="38" t="s">
        <v>209</v>
      </c>
      <c r="AI2" s="38" t="s">
        <v>212</v>
      </c>
      <c r="AJ2" s="38" t="s">
        <v>210</v>
      </c>
      <c r="AK2" s="38" t="s">
        <v>211</v>
      </c>
      <c r="AL2" s="38" t="s">
        <v>299</v>
      </c>
    </row>
    <row r="3" spans="1:38" x14ac:dyDescent="0.3">
      <c r="A3" s="66" t="s">
        <v>419</v>
      </c>
      <c r="B3" s="67">
        <v>1.78</v>
      </c>
      <c r="C3" s="67">
        <v>1.62</v>
      </c>
      <c r="D3" s="67"/>
      <c r="E3" s="67">
        <v>5.96</v>
      </c>
      <c r="F3" s="67">
        <v>2.11</v>
      </c>
      <c r="G3" s="67">
        <v>134.80000000000001</v>
      </c>
      <c r="H3" s="67"/>
      <c r="I3" s="67"/>
      <c r="J3" s="69">
        <v>0.57199999999999995</v>
      </c>
      <c r="L3" s="66" t="s">
        <v>427</v>
      </c>
      <c r="M3" s="67">
        <v>68.2</v>
      </c>
      <c r="N3" s="67">
        <v>11.93</v>
      </c>
      <c r="O3" s="67">
        <v>8.64</v>
      </c>
      <c r="P3" s="67">
        <v>3.16</v>
      </c>
      <c r="Q3" s="67">
        <v>134.80000000000001</v>
      </c>
      <c r="R3" s="69">
        <v>1.36</v>
      </c>
      <c r="T3" s="66" t="s">
        <v>427</v>
      </c>
      <c r="U3" s="67">
        <v>68.2</v>
      </c>
      <c r="V3" s="67">
        <v>11.93</v>
      </c>
      <c r="W3" s="67">
        <v>8.64</v>
      </c>
      <c r="X3" s="67">
        <v>3.16</v>
      </c>
      <c r="Y3" s="67">
        <v>134.80000000000001</v>
      </c>
      <c r="Z3" s="67">
        <v>27.3</v>
      </c>
      <c r="AA3" s="67">
        <v>57.2</v>
      </c>
      <c r="AB3" s="67">
        <v>1.36</v>
      </c>
      <c r="AD3" s="66" t="s">
        <v>462</v>
      </c>
      <c r="AE3" s="67">
        <v>7.58</v>
      </c>
      <c r="AF3" s="67">
        <v>3.76</v>
      </c>
      <c r="AG3" s="67">
        <v>13.98</v>
      </c>
      <c r="AH3" s="67">
        <v>4.41</v>
      </c>
      <c r="AI3" s="67">
        <v>134.80000000000001</v>
      </c>
      <c r="AJ3" s="67">
        <v>31.7</v>
      </c>
      <c r="AK3" s="67">
        <v>20.2</v>
      </c>
      <c r="AL3" s="67">
        <v>0.90500000000000003</v>
      </c>
    </row>
    <row r="4" spans="1:38" x14ac:dyDescent="0.3">
      <c r="A4" s="45" t="s">
        <v>420</v>
      </c>
      <c r="B4" s="35">
        <v>1.56</v>
      </c>
      <c r="C4" s="35">
        <v>1.42</v>
      </c>
      <c r="D4" s="35"/>
      <c r="E4" s="35">
        <v>5.21</v>
      </c>
      <c r="F4" s="35">
        <v>1.87</v>
      </c>
      <c r="G4" s="35">
        <v>134.80000000000001</v>
      </c>
      <c r="H4" s="35"/>
      <c r="I4" s="35"/>
      <c r="J4" s="36">
        <v>0.48799999999999999</v>
      </c>
      <c r="L4" s="66" t="s">
        <v>428</v>
      </c>
      <c r="M4" s="67">
        <v>118.9</v>
      </c>
      <c r="N4" s="67">
        <v>15.75</v>
      </c>
      <c r="O4" s="67">
        <v>9.5</v>
      </c>
      <c r="P4" s="67">
        <v>3.39</v>
      </c>
      <c r="Q4" s="67">
        <v>134.80000000000001</v>
      </c>
      <c r="R4" s="69">
        <v>1.5880000000000001</v>
      </c>
      <c r="T4" s="66" t="s">
        <v>428</v>
      </c>
      <c r="U4" s="67">
        <v>118.9</v>
      </c>
      <c r="V4" s="67">
        <v>15.75</v>
      </c>
      <c r="W4" s="67">
        <v>9.5</v>
      </c>
      <c r="X4" s="67">
        <v>3.39</v>
      </c>
      <c r="Y4" s="67">
        <v>134.80000000000001</v>
      </c>
      <c r="Z4" s="67">
        <v>28.1</v>
      </c>
      <c r="AA4" s="67">
        <v>75.5</v>
      </c>
      <c r="AB4" s="67">
        <v>1.5880000000000001</v>
      </c>
      <c r="AD4" s="66" t="s">
        <v>463</v>
      </c>
      <c r="AE4" s="67">
        <v>5.78</v>
      </c>
      <c r="AF4" s="67">
        <v>2.86</v>
      </c>
      <c r="AG4" s="67">
        <v>6.91</v>
      </c>
      <c r="AH4" s="67">
        <v>2.73</v>
      </c>
      <c r="AI4" s="67">
        <v>134.80000000000001</v>
      </c>
      <c r="AJ4" s="67">
        <v>25.3</v>
      </c>
      <c r="AK4" s="67">
        <v>20.2</v>
      </c>
      <c r="AL4" s="67">
        <v>0.75800000000000001</v>
      </c>
    </row>
    <row r="5" spans="1:38" x14ac:dyDescent="0.3">
      <c r="A5" s="66" t="s">
        <v>421</v>
      </c>
      <c r="B5" s="67">
        <v>1.55</v>
      </c>
      <c r="C5" s="67">
        <v>1.4</v>
      </c>
      <c r="D5" s="67"/>
      <c r="E5" s="67">
        <v>5.17</v>
      </c>
      <c r="F5" s="67">
        <v>1.86</v>
      </c>
      <c r="G5" s="67">
        <v>134.80000000000001</v>
      </c>
      <c r="H5" s="67"/>
      <c r="I5" s="67"/>
      <c r="J5" s="69">
        <v>0.47399999999999998</v>
      </c>
      <c r="L5" s="66" t="s">
        <v>429</v>
      </c>
      <c r="M5" s="67">
        <v>167.7</v>
      </c>
      <c r="N5" s="67">
        <v>10.44</v>
      </c>
      <c r="O5" s="67">
        <v>21.93</v>
      </c>
      <c r="P5" s="67">
        <v>10.44</v>
      </c>
      <c r="Q5" s="67">
        <v>134.80000000000001</v>
      </c>
      <c r="R5" s="69">
        <v>1.8919999999999999</v>
      </c>
      <c r="T5" s="66" t="s">
        <v>429</v>
      </c>
      <c r="U5" s="67">
        <v>167.7</v>
      </c>
      <c r="V5" s="67">
        <v>10.44</v>
      </c>
      <c r="W5" s="67">
        <v>21.93</v>
      </c>
      <c r="X5" s="67">
        <v>10.44</v>
      </c>
      <c r="Y5" s="67">
        <v>134.80000000000001</v>
      </c>
      <c r="Z5" s="67">
        <v>21</v>
      </c>
      <c r="AA5" s="67">
        <v>74.3</v>
      </c>
      <c r="AB5" s="67">
        <v>1.8919999999999999</v>
      </c>
      <c r="AD5" s="66" t="s">
        <v>464</v>
      </c>
      <c r="AE5" s="67">
        <v>6.31</v>
      </c>
      <c r="AF5" s="67">
        <v>3.13</v>
      </c>
      <c r="AG5" s="67">
        <v>9.6999999999999993</v>
      </c>
      <c r="AH5" s="67">
        <v>3.45</v>
      </c>
      <c r="AI5" s="67">
        <v>134.80000000000001</v>
      </c>
      <c r="AJ5" s="67">
        <v>28.15</v>
      </c>
      <c r="AK5" s="67">
        <v>20.2</v>
      </c>
      <c r="AL5" s="67">
        <v>0.79600000000000004</v>
      </c>
    </row>
    <row r="6" spans="1:38" x14ac:dyDescent="0.3">
      <c r="A6" s="66" t="s">
        <v>701</v>
      </c>
      <c r="B6" s="22">
        <v>1.4</v>
      </c>
      <c r="C6" s="22">
        <v>1.27</v>
      </c>
      <c r="D6" s="22"/>
      <c r="E6" s="22">
        <v>4.68</v>
      </c>
      <c r="F6" s="22">
        <v>1.64</v>
      </c>
      <c r="G6" s="22">
        <v>134.80000000000001</v>
      </c>
      <c r="H6" s="22"/>
      <c r="I6" s="22"/>
      <c r="J6" s="34">
        <v>0.432</v>
      </c>
      <c r="L6" s="66" t="s">
        <v>430</v>
      </c>
      <c r="M6" s="67">
        <v>71.959999999999994</v>
      </c>
      <c r="N6" s="67">
        <v>12.04</v>
      </c>
      <c r="O6" s="67">
        <v>11.52</v>
      </c>
      <c r="P6" s="67">
        <v>2.91</v>
      </c>
      <c r="Q6" s="67">
        <v>134.80000000000001</v>
      </c>
      <c r="R6" s="69">
        <v>1.415</v>
      </c>
      <c r="T6" s="66" t="s">
        <v>430</v>
      </c>
      <c r="U6" s="67">
        <v>71.959999999999994</v>
      </c>
      <c r="V6" s="67">
        <v>12.04</v>
      </c>
      <c r="W6" s="67">
        <v>11.52</v>
      </c>
      <c r="X6" s="67">
        <v>2.91</v>
      </c>
      <c r="Y6" s="67">
        <v>134.80000000000001</v>
      </c>
      <c r="Z6" s="67">
        <v>39.9</v>
      </c>
      <c r="AA6" s="67">
        <v>59.2</v>
      </c>
      <c r="AB6" s="67">
        <v>1.415</v>
      </c>
      <c r="AD6" s="66" t="s">
        <v>706</v>
      </c>
      <c r="AE6" s="67">
        <v>10.26</v>
      </c>
      <c r="AF6" s="67">
        <v>3.75</v>
      </c>
      <c r="AG6" s="67">
        <v>15.78</v>
      </c>
      <c r="AH6" s="67">
        <v>4.5999999999999996</v>
      </c>
      <c r="AI6" s="67">
        <v>134.80000000000001</v>
      </c>
      <c r="AJ6" s="67">
        <v>22.7</v>
      </c>
      <c r="AK6" s="67">
        <v>33.9</v>
      </c>
      <c r="AL6" s="67">
        <v>1.008</v>
      </c>
    </row>
    <row r="7" spans="1:38" x14ac:dyDescent="0.3">
      <c r="A7" s="66" t="s">
        <v>422</v>
      </c>
      <c r="B7" s="22">
        <v>2.33</v>
      </c>
      <c r="C7" s="22">
        <v>1.66</v>
      </c>
      <c r="D7" s="22"/>
      <c r="E7" s="22">
        <v>5.65</v>
      </c>
      <c r="F7" s="22">
        <v>2.0499999999999998</v>
      </c>
      <c r="G7" s="22">
        <v>134.80000000000001</v>
      </c>
      <c r="H7" s="22"/>
      <c r="I7" s="22"/>
      <c r="J7" s="34">
        <v>0.61</v>
      </c>
      <c r="L7" s="66" t="s">
        <v>431</v>
      </c>
      <c r="M7" s="67">
        <v>126.45</v>
      </c>
      <c r="N7" s="67">
        <v>16.3</v>
      </c>
      <c r="O7" s="67">
        <v>12.4</v>
      </c>
      <c r="P7" s="67">
        <v>3.05</v>
      </c>
      <c r="Q7" s="67">
        <v>134.80000000000001</v>
      </c>
      <c r="R7" s="69">
        <v>1.647</v>
      </c>
      <c r="T7" s="66" t="s">
        <v>683</v>
      </c>
      <c r="U7" s="67">
        <v>96.36</v>
      </c>
      <c r="V7" s="67">
        <v>16.146999999999998</v>
      </c>
      <c r="W7" s="67">
        <v>12.987</v>
      </c>
      <c r="X7" s="67">
        <v>3.0139999999999998</v>
      </c>
      <c r="Y7" s="67">
        <v>134.80000000000001</v>
      </c>
      <c r="Z7" s="67">
        <v>43.1</v>
      </c>
      <c r="AA7" s="67">
        <v>59.7</v>
      </c>
      <c r="AB7" s="67">
        <v>2.625</v>
      </c>
      <c r="AD7" s="66" t="s">
        <v>465</v>
      </c>
      <c r="AE7" s="67">
        <v>15.13</v>
      </c>
      <c r="AF7" s="67">
        <v>4.4800000000000004</v>
      </c>
      <c r="AG7" s="67">
        <v>9.07</v>
      </c>
      <c r="AH7" s="67">
        <v>2.79</v>
      </c>
      <c r="AI7" s="67">
        <v>134.80000000000001</v>
      </c>
      <c r="AJ7" s="67">
        <v>32.5</v>
      </c>
      <c r="AK7" s="67">
        <v>33.799999999999997</v>
      </c>
      <c r="AL7" s="67">
        <v>1.04</v>
      </c>
    </row>
    <row r="8" spans="1:38" x14ac:dyDescent="0.3">
      <c r="A8" s="66" t="s">
        <v>423</v>
      </c>
      <c r="B8" s="22">
        <v>2.0499999999999998</v>
      </c>
      <c r="C8" s="22">
        <v>1.49</v>
      </c>
      <c r="D8" s="22"/>
      <c r="E8" s="22">
        <v>4.66</v>
      </c>
      <c r="F8" s="22">
        <v>1.77</v>
      </c>
      <c r="G8" s="22">
        <v>134.80000000000001</v>
      </c>
      <c r="H8" s="22"/>
      <c r="I8" s="22"/>
      <c r="J8" s="34">
        <v>0.5</v>
      </c>
      <c r="L8" s="66" t="s">
        <v>432</v>
      </c>
      <c r="M8" s="67">
        <v>57.45</v>
      </c>
      <c r="N8" s="67">
        <v>9.16</v>
      </c>
      <c r="O8" s="67">
        <v>10.54</v>
      </c>
      <c r="P8" s="67">
        <v>2.67</v>
      </c>
      <c r="Q8" s="67">
        <v>134.80000000000001</v>
      </c>
      <c r="R8" s="69">
        <v>1.238</v>
      </c>
      <c r="T8" s="66" t="s">
        <v>431</v>
      </c>
      <c r="U8" s="67">
        <v>126.45</v>
      </c>
      <c r="V8" s="67">
        <v>16.3</v>
      </c>
      <c r="W8" s="67">
        <v>12.4</v>
      </c>
      <c r="X8" s="67">
        <v>3.05</v>
      </c>
      <c r="Y8" s="67">
        <v>134.80000000000001</v>
      </c>
      <c r="Z8" s="67">
        <v>40.700000000000003</v>
      </c>
      <c r="AA8" s="67">
        <v>77.599999999999994</v>
      </c>
      <c r="AB8" s="67">
        <v>1.647</v>
      </c>
      <c r="AD8" s="66" t="s">
        <v>466</v>
      </c>
      <c r="AE8" s="67">
        <v>14.51</v>
      </c>
      <c r="AF8" s="67">
        <v>4.41</v>
      </c>
      <c r="AG8" s="67">
        <v>8.77</v>
      </c>
      <c r="AH8" s="67">
        <v>2.69</v>
      </c>
      <c r="AI8" s="67">
        <v>134.80000000000001</v>
      </c>
      <c r="AJ8" s="67">
        <v>32.56</v>
      </c>
      <c r="AK8" s="67">
        <v>33.659999999999997</v>
      </c>
      <c r="AL8" s="67">
        <v>0.94899999999999995</v>
      </c>
    </row>
    <row r="9" spans="1:38" x14ac:dyDescent="0.3">
      <c r="A9" s="66" t="s">
        <v>424</v>
      </c>
      <c r="B9" s="35">
        <v>1.85</v>
      </c>
      <c r="C9" s="35">
        <v>1.32</v>
      </c>
      <c r="D9" s="35"/>
      <c r="E9" s="35">
        <v>4.16</v>
      </c>
      <c r="F9" s="35">
        <v>1.57</v>
      </c>
      <c r="G9" s="35">
        <v>134.80000000000001</v>
      </c>
      <c r="H9" s="35"/>
      <c r="I9" s="35"/>
      <c r="J9" s="36">
        <v>0.44700000000000001</v>
      </c>
      <c r="L9" s="66" t="s">
        <v>433</v>
      </c>
      <c r="M9" s="67">
        <v>109.3</v>
      </c>
      <c r="N9" s="67">
        <v>13.74</v>
      </c>
      <c r="O9" s="67">
        <v>11.42</v>
      </c>
      <c r="P9" s="67">
        <v>2.83</v>
      </c>
      <c r="Q9" s="67">
        <v>134.80000000000001</v>
      </c>
      <c r="R9" s="69">
        <v>1.4350000000000001</v>
      </c>
      <c r="T9" s="66" t="s">
        <v>432</v>
      </c>
      <c r="U9" s="67">
        <v>57.45</v>
      </c>
      <c r="V9" s="67">
        <v>9.16</v>
      </c>
      <c r="W9" s="67">
        <v>10.54</v>
      </c>
      <c r="X9" s="67">
        <v>2.67</v>
      </c>
      <c r="Y9" s="67">
        <v>134.80000000000001</v>
      </c>
      <c r="Z9" s="67">
        <v>39.4</v>
      </c>
      <c r="AA9" s="67">
        <v>63.3</v>
      </c>
      <c r="AB9" s="67">
        <v>1.238</v>
      </c>
      <c r="AD9" s="66" t="s">
        <v>467</v>
      </c>
      <c r="AE9" s="67">
        <v>7.08</v>
      </c>
      <c r="AF9" s="67">
        <v>3.3</v>
      </c>
      <c r="AG9" s="67">
        <v>11.36</v>
      </c>
      <c r="AH9" s="67">
        <v>2.96</v>
      </c>
      <c r="AI9" s="67">
        <v>134.80000000000001</v>
      </c>
      <c r="AJ9" s="67">
        <v>38.340000000000003</v>
      </c>
      <c r="AK9" s="67">
        <v>21.4</v>
      </c>
      <c r="AL9" s="67">
        <v>0.81499999999999995</v>
      </c>
    </row>
    <row r="10" spans="1:38" x14ac:dyDescent="0.3">
      <c r="A10" s="168" t="s">
        <v>425</v>
      </c>
      <c r="B10" s="67">
        <v>4.57</v>
      </c>
      <c r="C10" s="67">
        <v>1.76</v>
      </c>
      <c r="D10" s="67"/>
      <c r="E10" s="67">
        <v>8.73</v>
      </c>
      <c r="F10" s="67">
        <v>2.72</v>
      </c>
      <c r="G10" s="67">
        <v>134.80000000000001</v>
      </c>
      <c r="H10" s="67"/>
      <c r="I10" s="67"/>
      <c r="J10" s="69">
        <v>0.76200000000000001</v>
      </c>
      <c r="L10" s="66" t="s">
        <v>434</v>
      </c>
      <c r="M10" s="67">
        <v>76.599999999999994</v>
      </c>
      <c r="N10" s="67">
        <v>12.3</v>
      </c>
      <c r="O10" s="67">
        <v>12.95</v>
      </c>
      <c r="P10" s="67">
        <v>3.18</v>
      </c>
      <c r="Q10" s="67">
        <v>134.80000000000001</v>
      </c>
      <c r="R10" s="69">
        <v>1.47</v>
      </c>
      <c r="T10" s="66" t="s">
        <v>433</v>
      </c>
      <c r="U10" s="67">
        <v>109.3</v>
      </c>
      <c r="V10" s="67">
        <v>13.74</v>
      </c>
      <c r="W10" s="67">
        <v>11.42</v>
      </c>
      <c r="X10" s="67">
        <v>2.83</v>
      </c>
      <c r="Y10" s="67">
        <v>134.80000000000001</v>
      </c>
      <c r="Z10" s="67">
        <v>40.4</v>
      </c>
      <c r="AA10" s="67">
        <v>79.5</v>
      </c>
      <c r="AB10" s="67">
        <v>1.4350000000000001</v>
      </c>
      <c r="AD10" s="66" t="s">
        <v>468</v>
      </c>
      <c r="AE10" s="67">
        <v>14.1</v>
      </c>
      <c r="AF10" s="67">
        <v>4.21</v>
      </c>
      <c r="AG10" s="67">
        <v>7.26</v>
      </c>
      <c r="AH10" s="67">
        <v>2.37</v>
      </c>
      <c r="AI10" s="67">
        <v>134.80000000000001</v>
      </c>
      <c r="AJ10" s="67">
        <v>30.6</v>
      </c>
      <c r="AK10" s="67">
        <v>33.5</v>
      </c>
      <c r="AL10" s="67">
        <v>0.94599999999999995</v>
      </c>
    </row>
    <row r="11" spans="1:38" x14ac:dyDescent="0.3">
      <c r="A11" s="66" t="s">
        <v>702</v>
      </c>
      <c r="B11" s="67">
        <v>7.66</v>
      </c>
      <c r="C11" s="67">
        <v>2.37</v>
      </c>
      <c r="D11" s="67"/>
      <c r="E11" s="67">
        <v>8.6300000000000008</v>
      </c>
      <c r="F11" s="67">
        <v>2.6</v>
      </c>
      <c r="G11" s="67">
        <v>134.80000000000001</v>
      </c>
      <c r="H11" s="67"/>
      <c r="I11" s="67"/>
      <c r="J11" s="69">
        <v>0.77900000000000003</v>
      </c>
      <c r="L11" s="168" t="s">
        <v>435</v>
      </c>
      <c r="M11" s="67">
        <v>143.54</v>
      </c>
      <c r="N11" s="67">
        <v>20.5</v>
      </c>
      <c r="O11" s="67">
        <v>15.24</v>
      </c>
      <c r="P11" s="67">
        <v>3.72</v>
      </c>
      <c r="Q11" s="67">
        <v>122.26</v>
      </c>
      <c r="R11" s="69">
        <v>2.0459999999999998</v>
      </c>
      <c r="T11" s="66" t="s">
        <v>434</v>
      </c>
      <c r="U11" s="67">
        <v>76.599999999999994</v>
      </c>
      <c r="V11" s="67">
        <v>12.3</v>
      </c>
      <c r="W11" s="67">
        <v>12.95</v>
      </c>
      <c r="X11" s="67">
        <v>3.18</v>
      </c>
      <c r="Y11" s="67">
        <v>134.80000000000001</v>
      </c>
      <c r="Z11" s="67">
        <v>40.799999999999997</v>
      </c>
      <c r="AA11" s="67">
        <v>61.1</v>
      </c>
      <c r="AB11" s="67">
        <v>1.47</v>
      </c>
      <c r="AD11" s="66" t="s">
        <v>469</v>
      </c>
      <c r="AE11" s="67">
        <v>14.1</v>
      </c>
      <c r="AF11" s="67">
        <v>4.32</v>
      </c>
      <c r="AG11" s="67">
        <v>6.6</v>
      </c>
      <c r="AH11" s="67">
        <v>2.21</v>
      </c>
      <c r="AI11" s="67">
        <v>134.80000000000001</v>
      </c>
      <c r="AJ11" s="67">
        <v>29.8</v>
      </c>
      <c r="AK11" s="67">
        <v>32.700000000000003</v>
      </c>
      <c r="AL11" s="67">
        <v>0.90100000000000002</v>
      </c>
    </row>
    <row r="12" spans="1:38" x14ac:dyDescent="0.3">
      <c r="A12" s="170" t="s">
        <v>426</v>
      </c>
      <c r="B12" s="35">
        <v>7.92</v>
      </c>
      <c r="C12" s="35">
        <v>3.33</v>
      </c>
      <c r="D12" s="35"/>
      <c r="E12" s="35">
        <v>8.4</v>
      </c>
      <c r="F12" s="35">
        <v>3.15</v>
      </c>
      <c r="G12" s="35">
        <v>134.80000000000001</v>
      </c>
      <c r="H12" s="35"/>
      <c r="I12" s="35"/>
      <c r="J12" s="36">
        <v>0.88300000000000001</v>
      </c>
      <c r="L12" s="66" t="s">
        <v>436</v>
      </c>
      <c r="M12" s="67">
        <v>134.80000000000001</v>
      </c>
      <c r="N12" s="67">
        <v>16.899999999999999</v>
      </c>
      <c r="O12" s="67">
        <v>13.7</v>
      </c>
      <c r="P12" s="67">
        <v>3.28</v>
      </c>
      <c r="Q12" s="67">
        <v>134.80000000000001</v>
      </c>
      <c r="R12" s="69">
        <v>1.7090000000000001</v>
      </c>
      <c r="T12" s="66" t="s">
        <v>684</v>
      </c>
      <c r="U12" s="67">
        <v>102.72499999999999</v>
      </c>
      <c r="V12" s="67">
        <v>17.547000000000001</v>
      </c>
      <c r="W12" s="67">
        <v>14.016</v>
      </c>
      <c r="X12" s="67">
        <v>3.2280000000000002</v>
      </c>
      <c r="Y12" s="67">
        <v>134.80000000000001</v>
      </c>
      <c r="Z12" s="67">
        <v>43.4</v>
      </c>
      <c r="AA12" s="67">
        <v>51.5</v>
      </c>
      <c r="AB12" s="67">
        <v>2.68</v>
      </c>
      <c r="AD12" s="66" t="s">
        <v>470</v>
      </c>
      <c r="AE12" s="67">
        <v>11.34</v>
      </c>
      <c r="AF12" s="67">
        <v>3.3</v>
      </c>
      <c r="AG12" s="67">
        <v>6.26</v>
      </c>
      <c r="AH12" s="67">
        <v>2.0699999999999998</v>
      </c>
      <c r="AI12" s="67">
        <v>134.80000000000001</v>
      </c>
      <c r="AJ12" s="67">
        <v>30.25</v>
      </c>
      <c r="AK12" s="67">
        <v>34.5</v>
      </c>
      <c r="AL12" s="67">
        <v>0.77900000000000003</v>
      </c>
    </row>
    <row r="13" spans="1:38" x14ac:dyDescent="0.3">
      <c r="A13" s="66" t="s">
        <v>703</v>
      </c>
      <c r="B13" s="35">
        <v>9.5</v>
      </c>
      <c r="C13" s="35">
        <v>2.74</v>
      </c>
      <c r="D13" s="35"/>
      <c r="E13" s="35">
        <v>7.86</v>
      </c>
      <c r="F13" s="35">
        <v>2.75</v>
      </c>
      <c r="G13" s="35">
        <v>134.80000000000001</v>
      </c>
      <c r="H13" s="35"/>
      <c r="I13" s="35"/>
      <c r="J13" s="36">
        <v>0.80900000000000005</v>
      </c>
      <c r="L13" s="66" t="s">
        <v>437</v>
      </c>
      <c r="M13" s="67">
        <v>60.63</v>
      </c>
      <c r="N13" s="67">
        <v>9.39</v>
      </c>
      <c r="O13" s="67">
        <v>11.82</v>
      </c>
      <c r="P13" s="67">
        <v>2.92</v>
      </c>
      <c r="Q13" s="67">
        <v>134.80000000000001</v>
      </c>
      <c r="R13" s="69">
        <v>1.2929999999999999</v>
      </c>
      <c r="T13" s="168" t="s">
        <v>435</v>
      </c>
      <c r="U13" s="67">
        <v>143.54</v>
      </c>
      <c r="V13" s="67">
        <v>20.5</v>
      </c>
      <c r="W13" s="67">
        <v>15.24</v>
      </c>
      <c r="X13" s="67">
        <v>3.72</v>
      </c>
      <c r="Y13" s="67">
        <v>122.26</v>
      </c>
      <c r="Z13" s="67">
        <v>41</v>
      </c>
      <c r="AA13" s="67">
        <v>71</v>
      </c>
      <c r="AB13" s="69">
        <v>2.0459999999999998</v>
      </c>
      <c r="AD13" s="66" t="s">
        <v>471</v>
      </c>
      <c r="AE13" s="67">
        <v>53.6</v>
      </c>
      <c r="AF13" s="67">
        <v>9.16</v>
      </c>
      <c r="AG13" s="67">
        <v>9.1999999999999993</v>
      </c>
      <c r="AH13" s="67">
        <v>2.82</v>
      </c>
      <c r="AI13" s="67">
        <v>134.80000000000001</v>
      </c>
      <c r="AJ13" s="67">
        <v>32.5</v>
      </c>
      <c r="AK13" s="67">
        <v>58.7</v>
      </c>
      <c r="AL13" s="67">
        <v>1.401</v>
      </c>
    </row>
    <row r="14" spans="1:38" x14ac:dyDescent="0.3">
      <c r="A14" s="66" t="s">
        <v>427</v>
      </c>
      <c r="B14" s="43">
        <v>68.2</v>
      </c>
      <c r="C14" s="43">
        <v>11.93</v>
      </c>
      <c r="D14" s="49">
        <v>11.93</v>
      </c>
      <c r="E14" s="43">
        <v>8.64</v>
      </c>
      <c r="F14" s="43">
        <v>3.16</v>
      </c>
      <c r="G14" s="43">
        <v>134.80000000000001</v>
      </c>
      <c r="H14" s="43">
        <v>27.3</v>
      </c>
      <c r="I14" s="43">
        <v>57.2</v>
      </c>
      <c r="J14" s="34">
        <v>1.36</v>
      </c>
      <c r="L14" s="66" t="s">
        <v>438</v>
      </c>
      <c r="M14" s="67">
        <v>78.349999999999994</v>
      </c>
      <c r="N14" s="67">
        <v>11.2</v>
      </c>
      <c r="O14" s="67">
        <v>12.37</v>
      </c>
      <c r="P14" s="67">
        <v>3.03</v>
      </c>
      <c r="Q14" s="67">
        <v>134.80000000000001</v>
      </c>
      <c r="R14" s="69">
        <v>1.385</v>
      </c>
      <c r="T14" s="66" t="s">
        <v>436</v>
      </c>
      <c r="U14" s="67">
        <v>134.80000000000001</v>
      </c>
      <c r="V14" s="67">
        <v>16.899999999999999</v>
      </c>
      <c r="W14" s="67">
        <v>13.7</v>
      </c>
      <c r="X14" s="67">
        <v>3.28</v>
      </c>
      <c r="Y14" s="67">
        <v>134.80000000000001</v>
      </c>
      <c r="Z14" s="67">
        <v>41.6</v>
      </c>
      <c r="AA14" s="67">
        <v>79.8</v>
      </c>
      <c r="AB14" s="67">
        <v>1.7090000000000001</v>
      </c>
      <c r="AD14" s="66" t="s">
        <v>687</v>
      </c>
      <c r="AE14" s="67">
        <v>77.108999999999995</v>
      </c>
      <c r="AF14" s="67">
        <v>13.847</v>
      </c>
      <c r="AG14" s="67">
        <v>9.7959999999999994</v>
      </c>
      <c r="AH14" s="67">
        <v>3.0619999999999998</v>
      </c>
      <c r="AI14" s="67">
        <v>134.80000000000001</v>
      </c>
      <c r="AJ14" s="67">
        <v>32</v>
      </c>
      <c r="AK14" s="67">
        <v>55.7</v>
      </c>
      <c r="AL14" s="67">
        <v>1.4</v>
      </c>
    </row>
    <row r="15" spans="1:38" x14ac:dyDescent="0.3">
      <c r="A15" s="66" t="s">
        <v>428</v>
      </c>
      <c r="B15" s="67">
        <v>118.9</v>
      </c>
      <c r="C15" s="67">
        <v>15.75</v>
      </c>
      <c r="D15" s="67">
        <v>15.75</v>
      </c>
      <c r="E15" s="43">
        <v>9.5</v>
      </c>
      <c r="F15" s="43">
        <v>3.36</v>
      </c>
      <c r="G15" s="43">
        <v>134.80000000000001</v>
      </c>
      <c r="H15" s="43">
        <v>28.1</v>
      </c>
      <c r="I15" s="43">
        <v>75.5</v>
      </c>
      <c r="J15" s="34">
        <v>1.5880000000000001</v>
      </c>
      <c r="L15" s="66" t="s">
        <v>439</v>
      </c>
      <c r="M15" s="67">
        <v>90.98</v>
      </c>
      <c r="N15" s="67">
        <v>12.52</v>
      </c>
      <c r="O15" s="67">
        <v>12.4</v>
      </c>
      <c r="P15" s="67">
        <v>3.02</v>
      </c>
      <c r="Q15" s="67">
        <v>134.80000000000001</v>
      </c>
      <c r="R15" s="69">
        <v>1.44</v>
      </c>
      <c r="T15" s="66" t="s">
        <v>437</v>
      </c>
      <c r="U15" s="67">
        <v>60.63</v>
      </c>
      <c r="V15" s="67">
        <v>9.39</v>
      </c>
      <c r="W15" s="67">
        <v>11.82</v>
      </c>
      <c r="X15" s="67">
        <v>2.92</v>
      </c>
      <c r="Y15" s="67">
        <v>134.80000000000001</v>
      </c>
      <c r="Z15" s="67">
        <v>40.5</v>
      </c>
      <c r="AA15" s="67">
        <v>64.599999999999994</v>
      </c>
      <c r="AB15" s="67">
        <v>1.2929999999999999</v>
      </c>
      <c r="AD15" s="66" t="s">
        <v>472</v>
      </c>
      <c r="AE15" s="67">
        <v>51.22</v>
      </c>
      <c r="AF15" s="67">
        <v>8.9700000000000006</v>
      </c>
      <c r="AG15" s="67">
        <v>7.56</v>
      </c>
      <c r="AH15" s="67">
        <v>2.42</v>
      </c>
      <c r="AI15" s="67">
        <v>134.80000000000001</v>
      </c>
      <c r="AJ15" s="67">
        <v>31.3</v>
      </c>
      <c r="AK15" s="67">
        <v>57.4</v>
      </c>
      <c r="AL15" s="67">
        <v>1.349</v>
      </c>
    </row>
    <row r="16" spans="1:38" x14ac:dyDescent="0.3">
      <c r="A16" s="66" t="s">
        <v>429</v>
      </c>
      <c r="B16" s="67">
        <v>167.7</v>
      </c>
      <c r="C16" s="67">
        <v>22.57</v>
      </c>
      <c r="D16" s="67">
        <v>22.57</v>
      </c>
      <c r="E16" s="43">
        <v>21.93</v>
      </c>
      <c r="F16" s="43">
        <v>10.44</v>
      </c>
      <c r="G16" s="43">
        <v>134.80000000000001</v>
      </c>
      <c r="H16" s="43">
        <v>21</v>
      </c>
      <c r="I16" s="43">
        <v>74.3</v>
      </c>
      <c r="J16" s="34">
        <v>1.8919999999999999</v>
      </c>
      <c r="L16" s="66" t="s">
        <v>698</v>
      </c>
      <c r="M16" s="67">
        <v>153.13999999999999</v>
      </c>
      <c r="N16" s="67">
        <v>19.739999999999998</v>
      </c>
      <c r="O16" s="67">
        <v>14.21</v>
      </c>
      <c r="P16" s="67">
        <v>3.4</v>
      </c>
      <c r="Q16" s="67">
        <v>134.80000000000001</v>
      </c>
      <c r="R16" s="69">
        <v>1.8480000000000001</v>
      </c>
      <c r="T16" s="66" t="s">
        <v>438</v>
      </c>
      <c r="U16" s="67">
        <v>78.349999999999994</v>
      </c>
      <c r="V16" s="67">
        <v>11.2</v>
      </c>
      <c r="W16" s="67">
        <v>12.37</v>
      </c>
      <c r="X16" s="67">
        <v>3.03</v>
      </c>
      <c r="Y16" s="67">
        <v>134.80000000000001</v>
      </c>
      <c r="Z16" s="67">
        <v>40.799999999999997</v>
      </c>
      <c r="AA16" s="67">
        <v>69.900000000000006</v>
      </c>
      <c r="AB16" s="67">
        <v>1.385</v>
      </c>
      <c r="AD16" s="66" t="s">
        <v>688</v>
      </c>
      <c r="AE16" s="67">
        <v>73.537000000000006</v>
      </c>
      <c r="AF16" s="67">
        <v>13.026</v>
      </c>
      <c r="AG16" s="67">
        <v>8.16</v>
      </c>
      <c r="AH16" s="67">
        <v>2.6120000000000001</v>
      </c>
      <c r="AI16" s="67">
        <v>134.80000000000001</v>
      </c>
      <c r="AJ16" s="67">
        <v>31.2</v>
      </c>
      <c r="AK16" s="67">
        <v>56.5</v>
      </c>
      <c r="AL16" s="67">
        <v>2.1960000000000002</v>
      </c>
    </row>
    <row r="17" spans="1:31" x14ac:dyDescent="0.3">
      <c r="A17" s="66" t="s">
        <v>430</v>
      </c>
      <c r="B17" s="67">
        <v>71.959999999999994</v>
      </c>
      <c r="C17" s="67">
        <v>12.04</v>
      </c>
      <c r="D17" s="67">
        <v>12.05</v>
      </c>
      <c r="E17" s="43">
        <v>11.52</v>
      </c>
      <c r="F17" s="43">
        <v>2.91</v>
      </c>
      <c r="G17" s="43">
        <v>134.80000000000001</v>
      </c>
      <c r="H17" s="43">
        <v>39.9</v>
      </c>
      <c r="I17" s="43">
        <v>59.2</v>
      </c>
      <c r="J17" s="34">
        <v>1.415</v>
      </c>
      <c r="L17" s="66" t="s">
        <v>445</v>
      </c>
      <c r="M17" s="67">
        <v>55.6</v>
      </c>
      <c r="N17" s="67">
        <v>8</v>
      </c>
      <c r="O17" s="67">
        <v>10.32</v>
      </c>
      <c r="P17" s="67">
        <v>2.8</v>
      </c>
      <c r="Q17" s="67">
        <v>134.80000000000001</v>
      </c>
      <c r="R17" s="69">
        <v>1.268</v>
      </c>
      <c r="T17" s="66" t="s">
        <v>439</v>
      </c>
      <c r="U17" s="67">
        <v>90.98</v>
      </c>
      <c r="V17" s="67">
        <v>12.52</v>
      </c>
      <c r="W17" s="67">
        <v>12.4</v>
      </c>
      <c r="X17" s="67">
        <v>3.02</v>
      </c>
      <c r="Y17" s="67">
        <v>134.80000000000001</v>
      </c>
      <c r="Z17" s="67">
        <v>41</v>
      </c>
      <c r="AA17" s="67">
        <v>72.7</v>
      </c>
      <c r="AB17" s="67">
        <v>1.44</v>
      </c>
      <c r="AD17"/>
      <c r="AE17"/>
    </row>
    <row r="18" spans="1:31" x14ac:dyDescent="0.3">
      <c r="A18" s="66" t="s">
        <v>431</v>
      </c>
      <c r="B18" s="67">
        <v>126.45</v>
      </c>
      <c r="C18" s="67">
        <v>16.3</v>
      </c>
      <c r="D18" s="67">
        <v>16.3</v>
      </c>
      <c r="E18" s="43">
        <v>12.4</v>
      </c>
      <c r="F18" s="43">
        <v>3.05</v>
      </c>
      <c r="G18" s="43">
        <v>134.80000000000001</v>
      </c>
      <c r="H18" s="43">
        <v>40.700000000000003</v>
      </c>
      <c r="I18" s="43">
        <v>77.599999999999994</v>
      </c>
      <c r="J18" s="34">
        <v>1.647</v>
      </c>
      <c r="L18" s="66" t="s">
        <v>446</v>
      </c>
      <c r="M18" s="67">
        <v>43.7</v>
      </c>
      <c r="N18" s="67">
        <v>10</v>
      </c>
      <c r="O18" s="67">
        <v>6.94</v>
      </c>
      <c r="P18" s="67">
        <v>2.66</v>
      </c>
      <c r="Q18" s="67">
        <v>134.80000000000001</v>
      </c>
      <c r="R18" s="69">
        <v>1.198</v>
      </c>
      <c r="T18" s="66" t="s">
        <v>698</v>
      </c>
      <c r="U18" s="67">
        <v>153.13999999999999</v>
      </c>
      <c r="V18" s="67">
        <v>19.739999999999998</v>
      </c>
      <c r="W18" s="67">
        <v>14.21</v>
      </c>
      <c r="X18" s="67">
        <v>3.4</v>
      </c>
      <c r="Y18" s="67">
        <v>134.80000000000001</v>
      </c>
      <c r="Z18" s="67">
        <v>41.7</v>
      </c>
      <c r="AA18" s="67">
        <v>77.599999999999994</v>
      </c>
      <c r="AB18" s="67">
        <v>1.8480000000000001</v>
      </c>
      <c r="AD18"/>
      <c r="AE18"/>
    </row>
    <row r="19" spans="1:31" x14ac:dyDescent="0.3">
      <c r="A19" s="66" t="s">
        <v>432</v>
      </c>
      <c r="B19" s="67">
        <v>57.45</v>
      </c>
      <c r="C19" s="67">
        <v>9.16</v>
      </c>
      <c r="D19" s="67">
        <v>9.16</v>
      </c>
      <c r="E19" s="43">
        <v>10.54</v>
      </c>
      <c r="F19" s="43">
        <v>2.67</v>
      </c>
      <c r="G19" s="43">
        <v>134.80000000000001</v>
      </c>
      <c r="H19" s="43">
        <v>39.4</v>
      </c>
      <c r="I19" s="43">
        <v>63.3</v>
      </c>
      <c r="J19" s="34">
        <v>1.238</v>
      </c>
      <c r="L19" s="66" t="s">
        <v>447</v>
      </c>
      <c r="M19" s="67">
        <v>107.99</v>
      </c>
      <c r="N19" s="67">
        <v>12.53</v>
      </c>
      <c r="O19" s="67">
        <v>10.31</v>
      </c>
      <c r="P19" s="67">
        <v>2.68</v>
      </c>
      <c r="Q19" s="67">
        <v>134.80000000000001</v>
      </c>
      <c r="R19" s="69">
        <v>1.474</v>
      </c>
      <c r="T19" s="66" t="s">
        <v>445</v>
      </c>
      <c r="U19" s="67">
        <v>55.6</v>
      </c>
      <c r="V19" s="67">
        <v>8</v>
      </c>
      <c r="W19" s="67">
        <v>10.32</v>
      </c>
      <c r="X19" s="67">
        <v>2.8</v>
      </c>
      <c r="Y19" s="67">
        <v>134.80000000000001</v>
      </c>
      <c r="Z19" s="67">
        <v>37.799999999999997</v>
      </c>
      <c r="AA19" s="67">
        <v>69.400000000000006</v>
      </c>
      <c r="AB19" s="69">
        <v>1.268</v>
      </c>
      <c r="AD19"/>
      <c r="AE19"/>
    </row>
    <row r="20" spans="1:31" x14ac:dyDescent="0.3">
      <c r="A20" s="66" t="s">
        <v>433</v>
      </c>
      <c r="B20" s="67">
        <v>109.3</v>
      </c>
      <c r="C20" s="67">
        <v>13.74</v>
      </c>
      <c r="D20" s="67">
        <v>13.74</v>
      </c>
      <c r="E20" s="43">
        <v>11.42</v>
      </c>
      <c r="F20" s="43">
        <v>2.83</v>
      </c>
      <c r="G20" s="43">
        <v>134.80000000000001</v>
      </c>
      <c r="H20" s="43">
        <v>40.4</v>
      </c>
      <c r="I20" s="43">
        <v>79.5</v>
      </c>
      <c r="J20" s="34">
        <v>1.4350000000000001</v>
      </c>
      <c r="L20" s="66" t="s">
        <v>448</v>
      </c>
      <c r="M20" s="67">
        <v>65.7</v>
      </c>
      <c r="N20" s="67">
        <v>8.9600000000000009</v>
      </c>
      <c r="O20" s="67">
        <v>9.57</v>
      </c>
      <c r="P20" s="67">
        <v>2.5099999999999998</v>
      </c>
      <c r="Q20" s="67">
        <v>134.80000000000001</v>
      </c>
      <c r="R20" s="69">
        <v>1.266</v>
      </c>
      <c r="T20" s="66" t="s">
        <v>446</v>
      </c>
      <c r="U20" s="67">
        <v>43.7</v>
      </c>
      <c r="V20" s="67">
        <v>10</v>
      </c>
      <c r="W20" s="67">
        <v>6.94</v>
      </c>
      <c r="X20" s="67">
        <v>2.66</v>
      </c>
      <c r="Y20" s="67">
        <v>134.80000000000001</v>
      </c>
      <c r="Z20" s="67">
        <v>37.6</v>
      </c>
      <c r="AA20" s="67">
        <v>62.9</v>
      </c>
      <c r="AB20" s="69">
        <v>1.198</v>
      </c>
      <c r="AD20"/>
      <c r="AE20"/>
    </row>
    <row r="21" spans="1:31" x14ac:dyDescent="0.3">
      <c r="A21" s="66" t="s">
        <v>434</v>
      </c>
      <c r="B21" s="67">
        <v>76.599999999999994</v>
      </c>
      <c r="C21" s="67">
        <v>12.3</v>
      </c>
      <c r="D21" s="67">
        <v>12.3</v>
      </c>
      <c r="E21" s="43">
        <v>12.95</v>
      </c>
      <c r="F21" s="43">
        <v>3.18</v>
      </c>
      <c r="G21" s="43">
        <v>134.80000000000001</v>
      </c>
      <c r="H21" s="43">
        <v>40.799999999999997</v>
      </c>
      <c r="I21" s="43">
        <v>61.1</v>
      </c>
      <c r="J21" s="34">
        <v>1.47</v>
      </c>
      <c r="L21" s="66" t="s">
        <v>449</v>
      </c>
      <c r="M21" s="67">
        <v>93</v>
      </c>
      <c r="N21" s="67">
        <v>11.42</v>
      </c>
      <c r="O21" s="67">
        <v>9.6999999999999993</v>
      </c>
      <c r="P21" s="67">
        <v>2.52</v>
      </c>
      <c r="Q21" s="67">
        <v>134.80000000000001</v>
      </c>
      <c r="R21" s="69">
        <v>1.3759999999999999</v>
      </c>
      <c r="T21" s="66" t="s">
        <v>447</v>
      </c>
      <c r="U21" s="67">
        <v>107.99</v>
      </c>
      <c r="V21" s="67">
        <v>12.53</v>
      </c>
      <c r="W21" s="67">
        <v>10.31</v>
      </c>
      <c r="X21" s="67">
        <v>2.68</v>
      </c>
      <c r="Y21" s="67">
        <v>134.80000000000001</v>
      </c>
      <c r="Z21" s="67">
        <v>38.4</v>
      </c>
      <c r="AA21" s="67">
        <v>86.2</v>
      </c>
      <c r="AB21" s="69">
        <v>1.474</v>
      </c>
      <c r="AD21"/>
      <c r="AE21"/>
    </row>
    <row r="22" spans="1:31" x14ac:dyDescent="0.3">
      <c r="A22" s="168" t="s">
        <v>435</v>
      </c>
      <c r="B22" s="67">
        <v>143.54</v>
      </c>
      <c r="C22" s="67">
        <v>20.5</v>
      </c>
      <c r="D22" s="67">
        <v>18.63</v>
      </c>
      <c r="E22" s="43">
        <v>15.24</v>
      </c>
      <c r="F22" s="43">
        <v>3.72</v>
      </c>
      <c r="G22" s="43">
        <v>122.26</v>
      </c>
      <c r="H22" s="43">
        <v>41</v>
      </c>
      <c r="I22" s="43">
        <v>71</v>
      </c>
      <c r="J22" s="34">
        <v>2.0459999999999998</v>
      </c>
      <c r="L22" s="169" t="s">
        <v>720</v>
      </c>
      <c r="M22" s="67">
        <v>68.715999999999994</v>
      </c>
      <c r="N22" s="67">
        <v>9.1679999999999993</v>
      </c>
      <c r="O22" s="67">
        <v>16.29</v>
      </c>
      <c r="P22" s="67">
        <v>3.879</v>
      </c>
      <c r="Q22" s="67">
        <v>134.80000000000001</v>
      </c>
      <c r="R22" s="69">
        <v>1.351</v>
      </c>
      <c r="T22" s="66" t="s">
        <v>448</v>
      </c>
      <c r="U22" s="67">
        <v>65.7</v>
      </c>
      <c r="V22" s="67">
        <v>8.9600000000000009</v>
      </c>
      <c r="W22" s="67">
        <v>9.57</v>
      </c>
      <c r="X22" s="67">
        <v>2.5099999999999998</v>
      </c>
      <c r="Y22" s="67">
        <v>134.80000000000001</v>
      </c>
      <c r="Z22" s="67">
        <v>38.200000000000003</v>
      </c>
      <c r="AA22" s="67">
        <v>73.400000000000006</v>
      </c>
      <c r="AB22" s="69">
        <v>1.266</v>
      </c>
      <c r="AD22"/>
      <c r="AE22"/>
    </row>
    <row r="23" spans="1:31" x14ac:dyDescent="0.3">
      <c r="A23" s="66" t="s">
        <v>436</v>
      </c>
      <c r="B23" s="67">
        <v>134.80000000000001</v>
      </c>
      <c r="C23" s="67">
        <v>16.899999999999999</v>
      </c>
      <c r="D23" s="67">
        <v>16.899999999999999</v>
      </c>
      <c r="E23" s="43">
        <v>13.7</v>
      </c>
      <c r="F23" s="43">
        <v>3.28</v>
      </c>
      <c r="G23" s="43">
        <v>134.80000000000001</v>
      </c>
      <c r="H23" s="43">
        <v>41.6</v>
      </c>
      <c r="I23" s="43">
        <v>79.8</v>
      </c>
      <c r="J23" s="34">
        <v>1.7090000000000001</v>
      </c>
      <c r="L23" s="171" t="s">
        <v>696</v>
      </c>
      <c r="M23" s="67">
        <v>64.5</v>
      </c>
      <c r="N23" s="67">
        <v>8.8699999999999992</v>
      </c>
      <c r="O23" s="67">
        <v>8.19</v>
      </c>
      <c r="P23" s="67">
        <v>2.2000000000000002</v>
      </c>
      <c r="Q23" s="67">
        <v>134.80000000000001</v>
      </c>
      <c r="R23" s="69">
        <v>1.2589999999999999</v>
      </c>
      <c r="T23" s="66" t="s">
        <v>449</v>
      </c>
      <c r="U23" s="67">
        <v>93</v>
      </c>
      <c r="V23" s="67">
        <v>11.42</v>
      </c>
      <c r="W23" s="67">
        <v>9.6999999999999993</v>
      </c>
      <c r="X23" s="67">
        <v>2.52</v>
      </c>
      <c r="Y23" s="67">
        <v>134.80000000000001</v>
      </c>
      <c r="Z23" s="67">
        <v>38.5</v>
      </c>
      <c r="AA23" s="67">
        <v>81.5</v>
      </c>
      <c r="AB23" s="69">
        <v>1.3759999999999999</v>
      </c>
      <c r="AD23"/>
      <c r="AE23"/>
    </row>
    <row r="24" spans="1:31" x14ac:dyDescent="0.3">
      <c r="A24" s="66" t="s">
        <v>437</v>
      </c>
      <c r="B24" s="67">
        <v>60.63</v>
      </c>
      <c r="C24" s="67">
        <v>9.39</v>
      </c>
      <c r="D24" s="67">
        <v>9.39</v>
      </c>
      <c r="E24" s="43">
        <v>11.82</v>
      </c>
      <c r="F24" s="43">
        <v>2.92</v>
      </c>
      <c r="G24" s="43">
        <v>134.80000000000001</v>
      </c>
      <c r="H24" s="43">
        <v>40.5</v>
      </c>
      <c r="I24" s="43">
        <v>64.599999999999994</v>
      </c>
      <c r="J24" s="34">
        <v>1.2929999999999999</v>
      </c>
      <c r="L24" s="171" t="s">
        <v>697</v>
      </c>
      <c r="M24" s="67">
        <v>101.32</v>
      </c>
      <c r="N24" s="67">
        <v>12.1</v>
      </c>
      <c r="O24" s="67">
        <v>8.68</v>
      </c>
      <c r="P24" s="67">
        <v>2.33</v>
      </c>
      <c r="Q24" s="67">
        <v>134.80000000000001</v>
      </c>
      <c r="R24" s="69">
        <v>1.413</v>
      </c>
      <c r="T24" s="169" t="s">
        <v>720</v>
      </c>
      <c r="U24" s="67">
        <v>68.715999999999994</v>
      </c>
      <c r="V24" s="67">
        <v>9.1679999999999993</v>
      </c>
      <c r="W24" s="67">
        <v>16.29</v>
      </c>
      <c r="X24" s="67">
        <v>3.879</v>
      </c>
      <c r="Y24" s="67">
        <v>134.80000000000001</v>
      </c>
      <c r="Z24" s="67">
        <v>42</v>
      </c>
      <c r="AA24" s="67">
        <v>75</v>
      </c>
      <c r="AB24" s="69">
        <v>1.351</v>
      </c>
      <c r="AD24"/>
      <c r="AE24"/>
    </row>
    <row r="25" spans="1:31" x14ac:dyDescent="0.3">
      <c r="A25" s="66" t="s">
        <v>438</v>
      </c>
      <c r="B25" s="67">
        <v>78.349999999999994</v>
      </c>
      <c r="C25" s="67">
        <v>11.2</v>
      </c>
      <c r="D25" s="67">
        <v>11.2</v>
      </c>
      <c r="E25" s="43">
        <v>12.37</v>
      </c>
      <c r="F25" s="43">
        <v>3.03</v>
      </c>
      <c r="G25" s="43">
        <v>134.80000000000001</v>
      </c>
      <c r="H25" s="43">
        <v>40.799999999999997</v>
      </c>
      <c r="I25" s="43">
        <v>69.900000000000006</v>
      </c>
      <c r="J25" s="34">
        <v>1.385</v>
      </c>
      <c r="L25" s="66" t="s">
        <v>450</v>
      </c>
      <c r="M25" s="67">
        <v>6.12</v>
      </c>
      <c r="N25" s="67">
        <v>2.77</v>
      </c>
      <c r="O25" s="67">
        <v>6.48</v>
      </c>
      <c r="P25" s="67">
        <v>2.06</v>
      </c>
      <c r="Q25" s="67">
        <v>134.80000000000001</v>
      </c>
      <c r="R25" s="36">
        <v>0.64700000000000002</v>
      </c>
      <c r="T25" s="171" t="s">
        <v>696</v>
      </c>
      <c r="U25" s="67">
        <v>64.5</v>
      </c>
      <c r="V25" s="67">
        <v>8.8699999999999992</v>
      </c>
      <c r="W25" s="67">
        <v>8.19</v>
      </c>
      <c r="X25" s="67">
        <v>2.2000000000000002</v>
      </c>
      <c r="Y25" s="67">
        <v>134.80000000000001</v>
      </c>
      <c r="Z25" s="67">
        <v>36.9</v>
      </c>
      <c r="AA25" s="67">
        <v>72.819999999999993</v>
      </c>
      <c r="AB25" s="69">
        <v>1.2589999999999999</v>
      </c>
      <c r="AD25"/>
      <c r="AE25"/>
    </row>
    <row r="26" spans="1:31" x14ac:dyDescent="0.3">
      <c r="A26" s="66" t="s">
        <v>439</v>
      </c>
      <c r="B26" s="67">
        <v>90.98</v>
      </c>
      <c r="C26" s="67">
        <v>12.52</v>
      </c>
      <c r="D26" s="67">
        <v>12.52</v>
      </c>
      <c r="E26" s="67">
        <v>12.4</v>
      </c>
      <c r="F26" s="67">
        <v>3.02</v>
      </c>
      <c r="G26" s="67">
        <v>134.80000000000001</v>
      </c>
      <c r="H26" s="67">
        <v>41</v>
      </c>
      <c r="I26" s="67">
        <v>72.7</v>
      </c>
      <c r="J26" s="69">
        <v>1.44</v>
      </c>
      <c r="L26" s="66" t="s">
        <v>451</v>
      </c>
      <c r="M26" s="67">
        <v>5.46</v>
      </c>
      <c r="N26" s="67">
        <v>2.5099999999999998</v>
      </c>
      <c r="O26" s="67">
        <v>6.07</v>
      </c>
      <c r="P26" s="67">
        <v>1.93</v>
      </c>
      <c r="Q26" s="67">
        <v>134.80000000000001</v>
      </c>
      <c r="R26" s="69">
        <v>0.58099999999999996</v>
      </c>
      <c r="T26" s="171" t="s">
        <v>697</v>
      </c>
      <c r="U26" s="67">
        <v>101.32</v>
      </c>
      <c r="V26" s="67">
        <v>12.1</v>
      </c>
      <c r="W26" s="67">
        <v>8.68</v>
      </c>
      <c r="X26" s="67">
        <v>2.33</v>
      </c>
      <c r="Y26" s="67">
        <v>134.80000000000001</v>
      </c>
      <c r="Z26" s="67">
        <v>37.44</v>
      </c>
      <c r="AA26" s="67">
        <v>83.8</v>
      </c>
      <c r="AB26" s="69">
        <v>1.405</v>
      </c>
      <c r="AD26"/>
      <c r="AE26"/>
    </row>
    <row r="27" spans="1:31" x14ac:dyDescent="0.3">
      <c r="A27" s="66" t="s">
        <v>698</v>
      </c>
      <c r="B27" s="67">
        <v>153.13999999999999</v>
      </c>
      <c r="C27" s="67">
        <v>19.739999999999998</v>
      </c>
      <c r="D27" s="67">
        <v>19.739999999999998</v>
      </c>
      <c r="E27" s="43">
        <v>14.21</v>
      </c>
      <c r="F27" s="43">
        <v>3.4</v>
      </c>
      <c r="G27" s="43">
        <v>134.80000000000001</v>
      </c>
      <c r="H27" s="43"/>
      <c r="I27" s="43"/>
      <c r="J27" s="34">
        <v>1.8480000000000001</v>
      </c>
      <c r="L27" s="45" t="s">
        <v>452</v>
      </c>
      <c r="M27" s="67">
        <v>6.75</v>
      </c>
      <c r="N27" s="67">
        <v>2.88</v>
      </c>
      <c r="O27" s="67">
        <v>9.07</v>
      </c>
      <c r="P27" s="67">
        <v>2.59</v>
      </c>
      <c r="Q27" s="35">
        <v>134.80000000000001</v>
      </c>
      <c r="R27" s="32">
        <v>0.73199999999999998</v>
      </c>
      <c r="T27" s="66" t="s">
        <v>450</v>
      </c>
      <c r="U27" s="67">
        <v>6.12</v>
      </c>
      <c r="V27" s="67">
        <v>2.77</v>
      </c>
      <c r="W27" s="67">
        <v>6.48</v>
      </c>
      <c r="X27" s="67">
        <v>2.06</v>
      </c>
      <c r="Y27" s="67">
        <v>134.80000000000001</v>
      </c>
      <c r="Z27" s="67">
        <v>31.5</v>
      </c>
      <c r="AA27" s="67">
        <v>22.1</v>
      </c>
      <c r="AB27" s="67">
        <v>0.64700000000000002</v>
      </c>
      <c r="AD27"/>
      <c r="AE27"/>
    </row>
    <row r="28" spans="1:31" x14ac:dyDescent="0.3">
      <c r="A28" s="66" t="s">
        <v>721</v>
      </c>
      <c r="B28" s="67">
        <v>180.8</v>
      </c>
      <c r="C28" s="67">
        <v>21.66</v>
      </c>
      <c r="D28" s="67">
        <v>21.66</v>
      </c>
      <c r="E28" s="67">
        <v>26.1</v>
      </c>
      <c r="F28" s="67">
        <v>5.45</v>
      </c>
      <c r="G28" s="67">
        <v>134.80000000000001</v>
      </c>
      <c r="H28" s="67"/>
      <c r="I28" s="67"/>
      <c r="J28" s="69">
        <v>2.0030000000000001</v>
      </c>
      <c r="L28" s="45" t="s">
        <v>453</v>
      </c>
      <c r="M28" s="67">
        <v>6.04</v>
      </c>
      <c r="N28" s="67">
        <v>2.61</v>
      </c>
      <c r="O28" s="67">
        <v>8.5</v>
      </c>
      <c r="P28" s="67">
        <v>2.4300000000000002</v>
      </c>
      <c r="Q28" s="35">
        <v>134.80000000000001</v>
      </c>
      <c r="R28" s="32">
        <v>0.65900000000000003</v>
      </c>
      <c r="T28" s="66" t="s">
        <v>451</v>
      </c>
      <c r="U28" s="67">
        <v>5.46</v>
      </c>
      <c r="V28" s="67">
        <v>2.5099999999999998</v>
      </c>
      <c r="W28" s="67">
        <v>6.07</v>
      </c>
      <c r="X28" s="67">
        <v>1.93</v>
      </c>
      <c r="Y28" s="67">
        <v>134.80000000000001</v>
      </c>
      <c r="Z28" s="67">
        <v>31.5</v>
      </c>
      <c r="AA28" s="67">
        <v>21.8</v>
      </c>
      <c r="AB28" s="67">
        <v>0.58099999999999996</v>
      </c>
    </row>
    <row r="29" spans="1:31" x14ac:dyDescent="0.3">
      <c r="A29" s="66" t="s">
        <v>560</v>
      </c>
      <c r="B29" s="67">
        <v>103.4</v>
      </c>
      <c r="C29" s="67">
        <v>15.8</v>
      </c>
      <c r="D29" s="67">
        <v>15.8</v>
      </c>
      <c r="E29" s="67">
        <v>103.4</v>
      </c>
      <c r="F29" s="67">
        <v>15.8</v>
      </c>
      <c r="G29" s="22">
        <v>134.80000000000001</v>
      </c>
      <c r="H29" s="22"/>
      <c r="I29" s="22"/>
      <c r="J29" s="34">
        <v>2.0030000000000001</v>
      </c>
      <c r="L29" s="45" t="s">
        <v>484</v>
      </c>
      <c r="M29" s="67">
        <v>5.19</v>
      </c>
      <c r="N29" s="67">
        <v>2.2000000000000002</v>
      </c>
      <c r="O29" s="67">
        <v>7.18</v>
      </c>
      <c r="P29" s="67">
        <v>2.0499999999999998</v>
      </c>
      <c r="Q29" s="67">
        <v>134.80000000000001</v>
      </c>
      <c r="R29" s="68">
        <v>0.54800000000000004</v>
      </c>
      <c r="T29" s="45" t="s">
        <v>452</v>
      </c>
      <c r="U29" s="67">
        <v>6.75</v>
      </c>
      <c r="V29" s="67">
        <v>2.88</v>
      </c>
      <c r="W29" s="67">
        <v>9.07</v>
      </c>
      <c r="X29" s="67">
        <v>2.59</v>
      </c>
      <c r="Y29" s="67">
        <v>134.80000000000001</v>
      </c>
      <c r="Z29" s="67">
        <v>35</v>
      </c>
      <c r="AA29" s="67">
        <v>23.4</v>
      </c>
      <c r="AB29" s="67">
        <v>0.73199999999999998</v>
      </c>
    </row>
    <row r="30" spans="1:31" x14ac:dyDescent="0.3">
      <c r="A30" s="66" t="s">
        <v>440</v>
      </c>
      <c r="B30" s="67">
        <v>311.10000000000002</v>
      </c>
      <c r="C30" s="67">
        <v>32.9</v>
      </c>
      <c r="D30" s="67">
        <v>32.9</v>
      </c>
      <c r="E30" s="67">
        <v>29.82</v>
      </c>
      <c r="F30" s="67">
        <v>6.22</v>
      </c>
      <c r="G30" s="67">
        <v>122.26</v>
      </c>
      <c r="H30" s="67"/>
      <c r="I30" s="67"/>
      <c r="J30" s="69">
        <v>2.6469999999999998</v>
      </c>
      <c r="L30" s="66" t="s">
        <v>454</v>
      </c>
      <c r="M30" s="67">
        <v>48.73</v>
      </c>
      <c r="N30" s="67">
        <v>7.99</v>
      </c>
      <c r="O30" s="67">
        <v>11.98</v>
      </c>
      <c r="P30" s="67">
        <v>3.02</v>
      </c>
      <c r="Q30" s="67">
        <v>134.80000000000001</v>
      </c>
      <c r="R30" s="68">
        <v>1.238</v>
      </c>
      <c r="T30" s="45" t="s">
        <v>453</v>
      </c>
      <c r="U30" s="67">
        <v>6.04</v>
      </c>
      <c r="V30" s="67">
        <v>2.61</v>
      </c>
      <c r="W30" s="67">
        <v>8.5</v>
      </c>
      <c r="X30" s="67">
        <v>2.4300000000000002</v>
      </c>
      <c r="Y30" s="67">
        <v>134.80000000000001</v>
      </c>
      <c r="Z30" s="67">
        <v>35</v>
      </c>
      <c r="AA30" s="67">
        <v>23.14</v>
      </c>
      <c r="AB30" s="67">
        <v>0.65900000000000003</v>
      </c>
    </row>
    <row r="31" spans="1:31" x14ac:dyDescent="0.3">
      <c r="A31" s="66" t="s">
        <v>691</v>
      </c>
      <c r="B31" s="67">
        <v>170.5</v>
      </c>
      <c r="C31" s="67">
        <v>23.24</v>
      </c>
      <c r="D31" s="67">
        <v>23.24</v>
      </c>
      <c r="E31" s="22">
        <v>170.5</v>
      </c>
      <c r="F31" s="22">
        <v>23.24</v>
      </c>
      <c r="G31" s="22">
        <v>122.26</v>
      </c>
      <c r="H31" s="22"/>
      <c r="I31" s="22"/>
      <c r="J31" s="34">
        <v>2.6469999999999998</v>
      </c>
      <c r="L31" s="66" t="s">
        <v>699</v>
      </c>
      <c r="M31" s="67">
        <v>28.65</v>
      </c>
      <c r="N31" s="67">
        <v>5.99</v>
      </c>
      <c r="O31" s="67">
        <v>11.17</v>
      </c>
      <c r="P31" s="67">
        <v>2.87</v>
      </c>
      <c r="Q31" s="67">
        <v>134.80000000000001</v>
      </c>
      <c r="R31" s="68">
        <v>1.111</v>
      </c>
      <c r="T31" s="45" t="s">
        <v>484</v>
      </c>
      <c r="U31" s="67">
        <v>5.19</v>
      </c>
      <c r="V31" s="67">
        <v>2.2000000000000002</v>
      </c>
      <c r="W31" s="67">
        <v>7.18</v>
      </c>
      <c r="X31" s="67">
        <v>2.0499999999999998</v>
      </c>
      <c r="Y31" s="67">
        <v>134.80000000000001</v>
      </c>
      <c r="Z31" s="67">
        <v>35</v>
      </c>
      <c r="AA31" s="67">
        <v>23.5</v>
      </c>
      <c r="AB31" s="67">
        <v>0.54800000000000004</v>
      </c>
    </row>
    <row r="32" spans="1:31" x14ac:dyDescent="0.3">
      <c r="A32" s="66" t="s">
        <v>441</v>
      </c>
      <c r="B32" s="67">
        <v>129.4</v>
      </c>
      <c r="C32" s="67">
        <v>16.350000000000001</v>
      </c>
      <c r="D32" s="67">
        <v>16.350000000000001</v>
      </c>
      <c r="E32" s="67">
        <v>24.54</v>
      </c>
      <c r="F32" s="67">
        <v>5.12</v>
      </c>
      <c r="G32" s="67">
        <v>134.80000000000001</v>
      </c>
      <c r="H32" s="67"/>
      <c r="I32" s="67"/>
      <c r="J32" s="69">
        <v>1.788</v>
      </c>
      <c r="L32" s="66" t="s">
        <v>455</v>
      </c>
      <c r="M32" s="67">
        <v>45.3</v>
      </c>
      <c r="N32" s="67">
        <v>7.68</v>
      </c>
      <c r="O32" s="67">
        <v>10.53</v>
      </c>
      <c r="P32" s="67">
        <v>2.75</v>
      </c>
      <c r="Q32" s="67">
        <v>134.80000000000001</v>
      </c>
      <c r="R32" s="68">
        <v>1.177</v>
      </c>
      <c r="T32" s="66" t="s">
        <v>454</v>
      </c>
      <c r="U32" s="67">
        <v>48.73</v>
      </c>
      <c r="V32" s="67">
        <v>7.99</v>
      </c>
      <c r="W32" s="67">
        <v>11.98</v>
      </c>
      <c r="X32" s="67">
        <v>3.02</v>
      </c>
      <c r="Y32" s="67">
        <v>134.80000000000001</v>
      </c>
      <c r="Z32" s="67">
        <v>39.6</v>
      </c>
      <c r="AA32" s="67">
        <v>61</v>
      </c>
      <c r="AB32" s="67">
        <v>1.238</v>
      </c>
    </row>
    <row r="33" spans="1:28" x14ac:dyDescent="0.3">
      <c r="A33" s="66" t="s">
        <v>692</v>
      </c>
      <c r="B33" s="67">
        <v>77</v>
      </c>
      <c r="C33" s="67">
        <v>12.34</v>
      </c>
      <c r="D33" s="67">
        <v>12.34</v>
      </c>
      <c r="E33" s="22">
        <v>77</v>
      </c>
      <c r="F33" s="22">
        <v>12.34</v>
      </c>
      <c r="G33" s="22">
        <v>134.80000000000001</v>
      </c>
      <c r="H33" s="22"/>
      <c r="I33" s="22"/>
      <c r="J33" s="69">
        <v>1.788</v>
      </c>
      <c r="L33" s="66" t="s">
        <v>456</v>
      </c>
      <c r="M33" s="67">
        <v>5.08</v>
      </c>
      <c r="N33" s="67">
        <v>2.13</v>
      </c>
      <c r="O33" s="67">
        <v>3.27</v>
      </c>
      <c r="P33" s="67">
        <v>1.23</v>
      </c>
      <c r="Q33" s="49">
        <v>134.80000000000001</v>
      </c>
      <c r="R33" s="44">
        <v>0.61299999999999999</v>
      </c>
      <c r="T33" s="66" t="s">
        <v>699</v>
      </c>
      <c r="U33" s="67">
        <v>28.65</v>
      </c>
      <c r="V33" s="67">
        <v>5.99</v>
      </c>
      <c r="W33" s="67">
        <v>11.17</v>
      </c>
      <c r="X33" s="67">
        <v>2.87</v>
      </c>
      <c r="Y33" s="67">
        <v>134.80000000000001</v>
      </c>
      <c r="Z33" s="67">
        <v>38.9</v>
      </c>
      <c r="AA33" s="67">
        <v>47.8</v>
      </c>
      <c r="AB33" s="67">
        <v>1.111</v>
      </c>
    </row>
    <row r="34" spans="1:28" x14ac:dyDescent="0.3">
      <c r="A34" s="66" t="s">
        <v>442</v>
      </c>
      <c r="B34" s="67">
        <v>146.1</v>
      </c>
      <c r="C34" s="67">
        <v>16.53</v>
      </c>
      <c r="D34" s="67">
        <v>16.53</v>
      </c>
      <c r="E34" s="67">
        <v>22.86</v>
      </c>
      <c r="F34" s="67">
        <v>4.8</v>
      </c>
      <c r="G34" s="67">
        <v>134.80000000000001</v>
      </c>
      <c r="H34" s="67"/>
      <c r="I34" s="67"/>
      <c r="J34" s="69">
        <v>1.7529999999999999</v>
      </c>
      <c r="L34" s="66" t="s">
        <v>457</v>
      </c>
      <c r="M34" s="67">
        <v>4.54</v>
      </c>
      <c r="N34" s="67">
        <v>1.9</v>
      </c>
      <c r="O34" s="67">
        <v>3.07</v>
      </c>
      <c r="P34" s="67">
        <v>1.1599999999999999</v>
      </c>
      <c r="Q34" s="49">
        <v>134.80000000000001</v>
      </c>
      <c r="R34" s="44">
        <v>0.54300000000000004</v>
      </c>
      <c r="T34" s="66" t="s">
        <v>685</v>
      </c>
      <c r="U34" s="67">
        <v>75.28</v>
      </c>
      <c r="V34" s="67">
        <v>13.473000000000001</v>
      </c>
      <c r="W34" s="67">
        <v>13.161</v>
      </c>
      <c r="X34" s="67">
        <v>3.101</v>
      </c>
      <c r="Y34" s="67">
        <v>134.80000000000001</v>
      </c>
      <c r="Z34" s="67">
        <v>42.4</v>
      </c>
      <c r="AA34" s="67">
        <v>44.1</v>
      </c>
      <c r="AB34" s="67">
        <v>2.1</v>
      </c>
    </row>
    <row r="35" spans="1:28" x14ac:dyDescent="0.3">
      <c r="A35" s="66" t="s">
        <v>693</v>
      </c>
      <c r="B35" s="67">
        <v>84.48</v>
      </c>
      <c r="C35" s="67">
        <v>12.26</v>
      </c>
      <c r="D35" s="67">
        <v>12.26</v>
      </c>
      <c r="E35" s="22">
        <v>84.48</v>
      </c>
      <c r="F35" s="22">
        <v>12.26</v>
      </c>
      <c r="G35" s="22">
        <v>134.80000000000001</v>
      </c>
      <c r="H35" s="22"/>
      <c r="I35" s="22"/>
      <c r="J35" s="34">
        <v>1.7529999999999999</v>
      </c>
      <c r="L35" s="66" t="s">
        <v>458</v>
      </c>
      <c r="M35" s="67">
        <v>3.97</v>
      </c>
      <c r="N35" s="67">
        <v>1.64</v>
      </c>
      <c r="O35" s="67">
        <v>2.7</v>
      </c>
      <c r="P35" s="67">
        <v>1.02</v>
      </c>
      <c r="Q35" s="49">
        <v>134.80000000000001</v>
      </c>
      <c r="R35" s="44">
        <v>0.46500000000000002</v>
      </c>
      <c r="T35" s="66" t="s">
        <v>455</v>
      </c>
      <c r="U35" s="67">
        <v>45.3</v>
      </c>
      <c r="V35" s="67">
        <v>7.68</v>
      </c>
      <c r="W35" s="67">
        <v>10.53</v>
      </c>
      <c r="X35" s="67">
        <v>2.75</v>
      </c>
      <c r="Y35" s="67">
        <v>134.80000000000001</v>
      </c>
      <c r="Z35" s="67">
        <v>38.299999999999997</v>
      </c>
      <c r="AA35" s="67">
        <v>59</v>
      </c>
      <c r="AB35" s="67">
        <v>1.177</v>
      </c>
    </row>
    <row r="36" spans="1:28" x14ac:dyDescent="0.3">
      <c r="A36" s="66" t="s">
        <v>443</v>
      </c>
      <c r="B36" s="67">
        <v>199.2</v>
      </c>
      <c r="C36" s="67">
        <v>20.23</v>
      </c>
      <c r="D36" s="67">
        <v>20.23</v>
      </c>
      <c r="E36" s="67">
        <v>23.2</v>
      </c>
      <c r="F36" s="67">
        <v>4.8499999999999996</v>
      </c>
      <c r="G36" s="67">
        <v>134.80000000000001</v>
      </c>
      <c r="H36" s="67"/>
      <c r="I36" s="67"/>
      <c r="J36" s="69">
        <v>1.88</v>
      </c>
      <c r="L36" s="66" t="s">
        <v>459</v>
      </c>
      <c r="M36" s="67">
        <v>13.69</v>
      </c>
      <c r="N36" s="67">
        <v>3.97</v>
      </c>
      <c r="O36" s="67">
        <v>4.08</v>
      </c>
      <c r="P36" s="67">
        <v>1.54</v>
      </c>
      <c r="Q36" s="49">
        <v>134.80000000000001</v>
      </c>
      <c r="R36" s="44">
        <v>0.79700000000000004</v>
      </c>
      <c r="T36" s="66" t="s">
        <v>686</v>
      </c>
      <c r="U36" s="67">
        <v>69.013999999999996</v>
      </c>
      <c r="V36" s="67">
        <v>12.03</v>
      </c>
      <c r="W36" s="67">
        <v>12.045999999999999</v>
      </c>
      <c r="X36" s="67">
        <v>2.8719999999999999</v>
      </c>
      <c r="Y36" s="67">
        <v>134.80000000000001</v>
      </c>
      <c r="Z36" s="67">
        <v>41.9</v>
      </c>
      <c r="AA36" s="67">
        <v>57.4</v>
      </c>
      <c r="AB36" s="67">
        <v>2.0390000000000001</v>
      </c>
    </row>
    <row r="37" spans="1:28" x14ac:dyDescent="0.3">
      <c r="A37" s="66" t="s">
        <v>694</v>
      </c>
      <c r="B37" s="67">
        <v>111.2</v>
      </c>
      <c r="C37" s="67">
        <v>14.62</v>
      </c>
      <c r="D37" s="67">
        <v>14.62</v>
      </c>
      <c r="E37" s="22">
        <v>111.2</v>
      </c>
      <c r="F37" s="22">
        <v>14.62</v>
      </c>
      <c r="G37" s="22">
        <v>134.80000000000001</v>
      </c>
      <c r="H37" s="22"/>
      <c r="I37" s="22"/>
      <c r="J37" s="34">
        <v>1.88</v>
      </c>
      <c r="L37" s="66" t="s">
        <v>461</v>
      </c>
      <c r="M37" s="67">
        <v>5.7</v>
      </c>
      <c r="N37" s="67">
        <v>2.79</v>
      </c>
      <c r="O37" s="67">
        <v>5.32</v>
      </c>
      <c r="P37" s="67">
        <v>2.5299999999999998</v>
      </c>
      <c r="Q37" s="67">
        <v>134.80000000000001</v>
      </c>
      <c r="R37" s="68">
        <v>0.63</v>
      </c>
      <c r="T37" s="66" t="s">
        <v>456</v>
      </c>
      <c r="U37" s="67">
        <v>5.08</v>
      </c>
      <c r="V37" s="67">
        <v>2.13</v>
      </c>
      <c r="W37" s="67">
        <v>3.27</v>
      </c>
      <c r="X37" s="67">
        <v>1.23</v>
      </c>
      <c r="Y37" s="67">
        <v>134.80000000000001</v>
      </c>
      <c r="Z37" s="67">
        <v>26.5</v>
      </c>
      <c r="AA37" s="67">
        <v>23.8</v>
      </c>
      <c r="AB37" s="67">
        <v>0.61299999999999999</v>
      </c>
    </row>
    <row r="38" spans="1:28" x14ac:dyDescent="0.3">
      <c r="A38" s="66" t="s">
        <v>444</v>
      </c>
      <c r="B38" s="67">
        <v>83.71</v>
      </c>
      <c r="C38" s="67">
        <v>10.54</v>
      </c>
      <c r="D38" s="67">
        <v>10.54</v>
      </c>
      <c r="E38" s="67">
        <v>14</v>
      </c>
      <c r="F38" s="67">
        <v>3.24</v>
      </c>
      <c r="G38" s="67">
        <v>134.80000000000001</v>
      </c>
      <c r="H38" s="67"/>
      <c r="I38" s="67"/>
      <c r="J38" s="69">
        <v>1.393</v>
      </c>
      <c r="L38" s="66" t="s">
        <v>474</v>
      </c>
      <c r="M38" s="67">
        <v>58.55</v>
      </c>
      <c r="N38" s="67">
        <v>11.48</v>
      </c>
      <c r="O38" s="67">
        <v>14.16</v>
      </c>
      <c r="P38" s="67">
        <v>4.05</v>
      </c>
      <c r="Q38" s="67">
        <v>122.3</v>
      </c>
      <c r="R38" s="68">
        <v>1.4259999999999999</v>
      </c>
      <c r="T38" s="66" t="s">
        <v>457</v>
      </c>
      <c r="U38" s="67">
        <v>4.54</v>
      </c>
      <c r="V38" s="67">
        <v>1.9</v>
      </c>
      <c r="W38" s="67">
        <v>3.07</v>
      </c>
      <c r="X38" s="67">
        <v>1.1599999999999999</v>
      </c>
      <c r="Y38" s="67">
        <v>134.80000000000001</v>
      </c>
      <c r="Z38" s="67">
        <v>26.5</v>
      </c>
      <c r="AA38" s="67">
        <v>23.8</v>
      </c>
      <c r="AB38" s="67">
        <v>0.54300000000000004</v>
      </c>
    </row>
    <row r="39" spans="1:28" x14ac:dyDescent="0.3">
      <c r="A39" s="66" t="s">
        <v>695</v>
      </c>
      <c r="B39" s="67">
        <v>48.9</v>
      </c>
      <c r="C39" s="67">
        <v>8.25</v>
      </c>
      <c r="D39" s="67">
        <v>8.25</v>
      </c>
      <c r="E39" s="22">
        <v>48.9</v>
      </c>
      <c r="F39" s="22">
        <v>8.25</v>
      </c>
      <c r="G39" s="22">
        <v>134.80000000000001</v>
      </c>
      <c r="H39" s="22"/>
      <c r="I39" s="22"/>
      <c r="J39" s="34">
        <v>1.393</v>
      </c>
      <c r="L39" s="66" t="s">
        <v>475</v>
      </c>
      <c r="M39" s="67">
        <v>84.33</v>
      </c>
      <c r="N39" s="67">
        <v>14.6</v>
      </c>
      <c r="O39" s="67">
        <v>15.2</v>
      </c>
      <c r="P39" s="67">
        <v>4.34</v>
      </c>
      <c r="Q39" s="67">
        <v>122.3</v>
      </c>
      <c r="R39" s="68">
        <v>1.5309999999999999</v>
      </c>
      <c r="T39" s="66" t="s">
        <v>458</v>
      </c>
      <c r="U39" s="67">
        <v>3.97</v>
      </c>
      <c r="V39" s="67">
        <v>1.64</v>
      </c>
      <c r="W39" s="67">
        <v>2.7</v>
      </c>
      <c r="X39" s="67">
        <v>1.02</v>
      </c>
      <c r="Y39" s="67">
        <v>134.80000000000001</v>
      </c>
      <c r="Z39" s="67">
        <v>26.5</v>
      </c>
      <c r="AA39" s="67">
        <v>23.8</v>
      </c>
      <c r="AB39" s="67">
        <v>0.46500000000000002</v>
      </c>
    </row>
    <row r="40" spans="1:28" x14ac:dyDescent="0.3">
      <c r="A40" s="66" t="s">
        <v>647</v>
      </c>
      <c r="B40" s="67">
        <v>41.4</v>
      </c>
      <c r="C40" s="67">
        <v>8.36</v>
      </c>
      <c r="D40" s="67">
        <v>8.36</v>
      </c>
      <c r="E40" s="67">
        <v>41.4</v>
      </c>
      <c r="F40" s="67">
        <v>8.36</v>
      </c>
      <c r="G40" s="67">
        <v>134.80000000000001</v>
      </c>
      <c r="H40" s="67"/>
      <c r="I40" s="67"/>
      <c r="J40" s="69">
        <v>1.8819999999999999</v>
      </c>
      <c r="L40" s="66" t="s">
        <v>476</v>
      </c>
      <c r="M40" s="67">
        <v>37.57</v>
      </c>
      <c r="N40" s="67">
        <v>8.5399999999999991</v>
      </c>
      <c r="O40" s="67">
        <v>13.08</v>
      </c>
      <c r="P40" s="67">
        <v>3.74</v>
      </c>
      <c r="Q40" s="67">
        <v>122.3</v>
      </c>
      <c r="R40" s="68">
        <v>1.3</v>
      </c>
      <c r="T40" s="66" t="s">
        <v>459</v>
      </c>
      <c r="U40" s="67">
        <v>13.69</v>
      </c>
      <c r="V40" s="67">
        <v>3.97</v>
      </c>
      <c r="W40" s="67">
        <v>4.08</v>
      </c>
      <c r="X40" s="67">
        <v>1.54</v>
      </c>
      <c r="Y40" s="67">
        <v>134.80000000000001</v>
      </c>
      <c r="Z40" s="67">
        <v>26.5</v>
      </c>
      <c r="AA40" s="67">
        <v>34.5</v>
      </c>
      <c r="AB40" s="67">
        <v>0.79700000000000004</v>
      </c>
    </row>
    <row r="41" spans="1:28" x14ac:dyDescent="0.3">
      <c r="A41" s="66" t="s">
        <v>700</v>
      </c>
      <c r="B41" s="67">
        <v>28.25</v>
      </c>
      <c r="C41" s="67">
        <v>6.6</v>
      </c>
      <c r="D41" s="67">
        <v>6.6</v>
      </c>
      <c r="E41" s="67">
        <v>54.5</v>
      </c>
      <c r="F41" s="67">
        <v>9.6999999999999993</v>
      </c>
      <c r="G41" s="67">
        <v>134.80000000000001</v>
      </c>
      <c r="H41" s="67"/>
      <c r="I41" s="67"/>
      <c r="J41" s="69">
        <v>1.8819999999999999</v>
      </c>
      <c r="L41" s="66" t="s">
        <v>477</v>
      </c>
      <c r="M41" s="67">
        <v>25.2</v>
      </c>
      <c r="N41" s="67">
        <v>6.03</v>
      </c>
      <c r="O41" s="67">
        <v>6.26</v>
      </c>
      <c r="P41" s="67">
        <v>2.37</v>
      </c>
      <c r="Q41" s="67">
        <v>134.80000000000001</v>
      </c>
      <c r="R41" s="68">
        <v>1.008</v>
      </c>
      <c r="T41" s="66" t="s">
        <v>461</v>
      </c>
      <c r="U41" s="67">
        <v>5.7</v>
      </c>
      <c r="V41" s="67">
        <v>2.79</v>
      </c>
      <c r="W41" s="67">
        <v>5.32</v>
      </c>
      <c r="X41" s="67">
        <v>2.5299999999999998</v>
      </c>
      <c r="Y41" s="67">
        <v>134.80000000000001</v>
      </c>
      <c r="Z41" s="67">
        <v>21</v>
      </c>
      <c r="AA41" s="67">
        <v>20.399999999999999</v>
      </c>
      <c r="AB41" s="67">
        <v>0.63</v>
      </c>
    </row>
    <row r="42" spans="1:28" x14ac:dyDescent="0.3">
      <c r="A42" s="66" t="s">
        <v>717</v>
      </c>
      <c r="B42" s="67">
        <v>82.32</v>
      </c>
      <c r="C42" s="67">
        <v>16.05</v>
      </c>
      <c r="D42" s="67">
        <v>16.05</v>
      </c>
      <c r="E42" s="67">
        <v>82.32</v>
      </c>
      <c r="F42" s="67">
        <v>16.05</v>
      </c>
      <c r="G42" s="67">
        <v>134.80000000000001</v>
      </c>
      <c r="H42" s="67"/>
      <c r="I42" s="67"/>
      <c r="J42" s="69">
        <v>5.2859999999999996</v>
      </c>
      <c r="L42" s="66" t="s">
        <v>478</v>
      </c>
      <c r="M42" s="67">
        <v>58.22</v>
      </c>
      <c r="N42" s="67">
        <v>11.3</v>
      </c>
      <c r="O42" s="67">
        <v>12.13</v>
      </c>
      <c r="P42" s="67">
        <v>3.6</v>
      </c>
      <c r="Q42" s="67">
        <v>122.3</v>
      </c>
      <c r="R42" s="68">
        <v>1.367</v>
      </c>
      <c r="T42" s="66" t="s">
        <v>462</v>
      </c>
      <c r="U42" s="67">
        <v>7.58</v>
      </c>
      <c r="V42" s="67">
        <v>3.76</v>
      </c>
      <c r="W42" s="67">
        <v>13.98</v>
      </c>
      <c r="X42" s="67">
        <v>4.41</v>
      </c>
      <c r="Y42" s="67">
        <v>134.80000000000001</v>
      </c>
      <c r="Z42" s="67">
        <v>31.7</v>
      </c>
      <c r="AA42" s="67">
        <v>20.2</v>
      </c>
      <c r="AB42" s="67">
        <v>0.90500000000000003</v>
      </c>
    </row>
    <row r="43" spans="1:28" x14ac:dyDescent="0.3">
      <c r="A43" s="66" t="s">
        <v>445</v>
      </c>
      <c r="B43" s="67">
        <v>55.6</v>
      </c>
      <c r="C43" s="67">
        <v>8</v>
      </c>
      <c r="D43" s="67">
        <v>8</v>
      </c>
      <c r="E43" s="22">
        <v>10.32</v>
      </c>
      <c r="F43" s="22">
        <v>2.8</v>
      </c>
      <c r="G43" s="22">
        <v>134.80000000000001</v>
      </c>
      <c r="H43" s="67">
        <v>37.799999999999997</v>
      </c>
      <c r="I43" s="67">
        <v>69.400000000000006</v>
      </c>
      <c r="J43" s="34">
        <v>1.268</v>
      </c>
      <c r="L43" s="66" t="s">
        <v>479</v>
      </c>
      <c r="M43" s="67">
        <v>83.54</v>
      </c>
      <c r="N43" s="67">
        <v>14.32</v>
      </c>
      <c r="O43" s="67">
        <v>13.18</v>
      </c>
      <c r="P43" s="67">
        <v>3.9</v>
      </c>
      <c r="Q43" s="67">
        <v>122.3</v>
      </c>
      <c r="R43" s="68">
        <v>1.472</v>
      </c>
      <c r="T43" s="66" t="s">
        <v>463</v>
      </c>
      <c r="U43" s="67">
        <v>5.78</v>
      </c>
      <c r="V43" s="67">
        <v>2.86</v>
      </c>
      <c r="W43" s="67">
        <v>6.91</v>
      </c>
      <c r="X43" s="67">
        <v>2.73</v>
      </c>
      <c r="Y43" s="67">
        <v>134.80000000000001</v>
      </c>
      <c r="Z43" s="67">
        <v>25.3</v>
      </c>
      <c r="AA43" s="67">
        <v>20.2</v>
      </c>
      <c r="AB43" s="67">
        <v>0.75800000000000001</v>
      </c>
    </row>
    <row r="44" spans="1:28" x14ac:dyDescent="0.3">
      <c r="A44" s="66" t="s">
        <v>446</v>
      </c>
      <c r="B44" s="67">
        <v>43.7</v>
      </c>
      <c r="C44" s="67">
        <v>10</v>
      </c>
      <c r="D44" s="67">
        <v>10</v>
      </c>
      <c r="E44" s="22">
        <v>6.94</v>
      </c>
      <c r="F44" s="22">
        <v>2.66</v>
      </c>
      <c r="G44" s="22">
        <v>134.80000000000001</v>
      </c>
      <c r="H44" s="67">
        <v>37.6</v>
      </c>
      <c r="I44" s="67">
        <v>62.9</v>
      </c>
      <c r="J44" s="34">
        <v>1.198</v>
      </c>
      <c r="L44" s="66" t="s">
        <v>480</v>
      </c>
      <c r="M44" s="67">
        <v>37.5</v>
      </c>
      <c r="N44" s="67">
        <v>8.4600000000000009</v>
      </c>
      <c r="O44" s="67">
        <v>11.04</v>
      </c>
      <c r="P44" s="67">
        <v>3.29</v>
      </c>
      <c r="Q44" s="67">
        <v>122.3</v>
      </c>
      <c r="R44" s="68">
        <v>1.2410000000000001</v>
      </c>
      <c r="T44" s="66" t="s">
        <v>464</v>
      </c>
      <c r="U44" s="67">
        <v>6.31</v>
      </c>
      <c r="V44" s="67">
        <v>3.13</v>
      </c>
      <c r="W44" s="67">
        <v>9.6999999999999993</v>
      </c>
      <c r="X44" s="67">
        <v>3.45</v>
      </c>
      <c r="Y44" s="67">
        <v>134.80000000000001</v>
      </c>
      <c r="Z44" s="67">
        <v>28.15</v>
      </c>
      <c r="AA44" s="67">
        <v>20.2</v>
      </c>
      <c r="AB44" s="67">
        <v>0.79600000000000004</v>
      </c>
    </row>
    <row r="45" spans="1:28" x14ac:dyDescent="0.3">
      <c r="A45" s="66" t="s">
        <v>447</v>
      </c>
      <c r="B45" s="67">
        <v>107.99</v>
      </c>
      <c r="C45" s="67">
        <v>12.53</v>
      </c>
      <c r="D45" s="67">
        <v>12.53</v>
      </c>
      <c r="E45" s="22">
        <v>10.31</v>
      </c>
      <c r="F45" s="22">
        <v>2.68</v>
      </c>
      <c r="G45" s="22">
        <v>134.80000000000001</v>
      </c>
      <c r="H45" s="67">
        <v>38.4</v>
      </c>
      <c r="I45" s="67">
        <v>86.2</v>
      </c>
      <c r="J45" s="34">
        <v>1.474</v>
      </c>
      <c r="L45" s="66" t="s">
        <v>481</v>
      </c>
      <c r="M45" s="67">
        <v>57.87</v>
      </c>
      <c r="N45" s="67">
        <v>11.1</v>
      </c>
      <c r="O45" s="67">
        <v>10.27</v>
      </c>
      <c r="P45" s="67">
        <v>4.8899999999999997</v>
      </c>
      <c r="Q45" s="67">
        <v>122.3</v>
      </c>
      <c r="R45" s="68">
        <v>1.3080000000000001</v>
      </c>
      <c r="T45" s="171" t="s">
        <v>706</v>
      </c>
      <c r="U45" s="67">
        <v>10.26</v>
      </c>
      <c r="V45" s="67">
        <v>3.75</v>
      </c>
      <c r="W45" s="67">
        <v>15.78</v>
      </c>
      <c r="X45" s="67">
        <v>4.5999999999999996</v>
      </c>
      <c r="Y45" s="67">
        <v>134.80000000000001</v>
      </c>
      <c r="Z45" s="67">
        <v>22.7</v>
      </c>
      <c r="AA45" s="67">
        <v>33.9</v>
      </c>
      <c r="AB45" s="67">
        <v>1.008</v>
      </c>
    </row>
    <row r="46" spans="1:28" x14ac:dyDescent="0.3">
      <c r="A46" s="66" t="s">
        <v>448</v>
      </c>
      <c r="B46" s="67">
        <v>65.7</v>
      </c>
      <c r="C46" s="67">
        <v>8.9600000000000009</v>
      </c>
      <c r="D46" s="67">
        <v>8.9600000000000009</v>
      </c>
      <c r="E46" s="22">
        <v>9.57</v>
      </c>
      <c r="F46" s="22">
        <v>2.5099999999999998</v>
      </c>
      <c r="G46" s="22">
        <v>134.80000000000001</v>
      </c>
      <c r="H46" s="67">
        <v>38.200000000000003</v>
      </c>
      <c r="I46" s="67">
        <v>73.400000000000006</v>
      </c>
      <c r="J46" s="34">
        <v>1.266</v>
      </c>
      <c r="L46" s="66" t="s">
        <v>482</v>
      </c>
      <c r="M46" s="67">
        <v>37.44</v>
      </c>
      <c r="N46" s="67">
        <v>8.41</v>
      </c>
      <c r="O46" s="67">
        <v>9.19</v>
      </c>
      <c r="P46" s="67">
        <v>4.37</v>
      </c>
      <c r="Q46" s="67">
        <v>122.3</v>
      </c>
      <c r="R46" s="68">
        <v>1.1819999999999999</v>
      </c>
      <c r="T46" s="66" t="s">
        <v>465</v>
      </c>
      <c r="U46" s="67">
        <v>15.13</v>
      </c>
      <c r="V46" s="67">
        <v>4.4800000000000004</v>
      </c>
      <c r="W46" s="67">
        <v>9.07</v>
      </c>
      <c r="X46" s="67">
        <v>2.79</v>
      </c>
      <c r="Y46" s="67">
        <v>134.80000000000001</v>
      </c>
      <c r="Z46" s="67">
        <v>32.5</v>
      </c>
      <c r="AA46" s="67">
        <v>33.799999999999997</v>
      </c>
      <c r="AB46" s="67">
        <v>1.04</v>
      </c>
    </row>
    <row r="47" spans="1:28" x14ac:dyDescent="0.3">
      <c r="A47" s="66" t="s">
        <v>449</v>
      </c>
      <c r="B47" s="67">
        <v>93</v>
      </c>
      <c r="C47" s="67">
        <v>11.42</v>
      </c>
      <c r="D47" s="67">
        <v>11.42</v>
      </c>
      <c r="E47" s="67">
        <v>9.6999999999999993</v>
      </c>
      <c r="F47" s="67">
        <v>2.52</v>
      </c>
      <c r="G47" s="67">
        <v>134.80000000000001</v>
      </c>
      <c r="H47" s="67">
        <v>38.5</v>
      </c>
      <c r="I47" s="67">
        <v>81.5</v>
      </c>
      <c r="J47" s="69">
        <v>1.3759999999999999</v>
      </c>
      <c r="T47" s="66" t="s">
        <v>466</v>
      </c>
      <c r="U47" s="67">
        <v>14.51</v>
      </c>
      <c r="V47" s="67">
        <v>4.41</v>
      </c>
      <c r="W47" s="67">
        <v>8.77</v>
      </c>
      <c r="X47" s="67">
        <v>2.69</v>
      </c>
      <c r="Y47" s="67">
        <v>134.80000000000001</v>
      </c>
      <c r="Z47" s="67">
        <v>32.56</v>
      </c>
      <c r="AA47" s="67">
        <v>33.659999999999997</v>
      </c>
      <c r="AB47" s="67">
        <v>0.94899999999999995</v>
      </c>
    </row>
    <row r="48" spans="1:28" x14ac:dyDescent="0.3">
      <c r="A48" s="169" t="s">
        <v>720</v>
      </c>
      <c r="B48" s="67">
        <v>68.715999999999994</v>
      </c>
      <c r="C48" s="67">
        <v>9.1679999999999993</v>
      </c>
      <c r="D48" s="67">
        <v>9.1679999999999993</v>
      </c>
      <c r="E48" s="22">
        <v>16.29</v>
      </c>
      <c r="F48" s="22">
        <v>3.879</v>
      </c>
      <c r="G48" s="22">
        <v>134.80000000000001</v>
      </c>
      <c r="H48" s="67">
        <v>42</v>
      </c>
      <c r="I48" s="67">
        <v>75</v>
      </c>
      <c r="J48" s="34">
        <v>1.351</v>
      </c>
      <c r="T48" s="66" t="s">
        <v>467</v>
      </c>
      <c r="U48" s="67">
        <v>7.08</v>
      </c>
      <c r="V48" s="67">
        <v>3.3</v>
      </c>
      <c r="W48" s="67">
        <v>11.36</v>
      </c>
      <c r="X48" s="67">
        <v>2.96</v>
      </c>
      <c r="Y48" s="67">
        <v>134.80000000000001</v>
      </c>
      <c r="Z48" s="67">
        <v>38.340000000000003</v>
      </c>
      <c r="AA48" s="67">
        <v>21.4</v>
      </c>
      <c r="AB48" s="67">
        <v>0.81499999999999995</v>
      </c>
    </row>
    <row r="49" spans="1:28" x14ac:dyDescent="0.3">
      <c r="A49" s="171" t="s">
        <v>696</v>
      </c>
      <c r="B49" s="67">
        <v>64.5</v>
      </c>
      <c r="C49" s="67">
        <v>8.8699999999999992</v>
      </c>
      <c r="D49" s="67">
        <v>8.8699999999999992</v>
      </c>
      <c r="E49" s="67">
        <v>8.19</v>
      </c>
      <c r="F49" s="67">
        <v>2.2000000000000002</v>
      </c>
      <c r="G49" s="67">
        <v>134.80000000000001</v>
      </c>
      <c r="H49" s="67">
        <v>36.9</v>
      </c>
      <c r="I49" s="67">
        <v>72.819999999999993</v>
      </c>
      <c r="J49" s="69">
        <v>1.2589999999999999</v>
      </c>
      <c r="L49" s="169" t="s">
        <v>718</v>
      </c>
      <c r="T49" s="66" t="s">
        <v>468</v>
      </c>
      <c r="U49" s="67">
        <v>14.1</v>
      </c>
      <c r="V49" s="67">
        <v>4.21</v>
      </c>
      <c r="W49" s="67">
        <v>7.26</v>
      </c>
      <c r="X49" s="67">
        <v>2.37</v>
      </c>
      <c r="Y49" s="67">
        <v>134.80000000000001</v>
      </c>
      <c r="Z49" s="67">
        <v>30.6</v>
      </c>
      <c r="AA49" s="67">
        <v>33.5</v>
      </c>
      <c r="AB49" s="67">
        <v>0.94599999999999995</v>
      </c>
    </row>
    <row r="50" spans="1:28" x14ac:dyDescent="0.3">
      <c r="A50" s="171" t="s">
        <v>697</v>
      </c>
      <c r="B50" s="67">
        <v>101.32</v>
      </c>
      <c r="C50" s="67">
        <v>12.1</v>
      </c>
      <c r="D50" s="67">
        <v>12.1</v>
      </c>
      <c r="E50" s="49">
        <v>8.68</v>
      </c>
      <c r="F50" s="49">
        <v>2.33</v>
      </c>
      <c r="G50" s="49">
        <v>134.80000000000001</v>
      </c>
      <c r="H50" s="67">
        <v>37.44</v>
      </c>
      <c r="I50" s="67">
        <v>83.8</v>
      </c>
      <c r="J50" s="34">
        <v>1.413</v>
      </c>
      <c r="L50" s="172" t="s">
        <v>719</v>
      </c>
      <c r="T50" s="66" t="s">
        <v>469</v>
      </c>
      <c r="U50" s="67">
        <v>14.1</v>
      </c>
      <c r="V50" s="67">
        <v>4.32</v>
      </c>
      <c r="W50" s="67">
        <v>6.6</v>
      </c>
      <c r="X50" s="67">
        <v>2.21</v>
      </c>
      <c r="Y50" s="67">
        <v>134.80000000000001</v>
      </c>
      <c r="Z50" s="67">
        <v>29.8</v>
      </c>
      <c r="AA50" s="67">
        <v>32.700000000000003</v>
      </c>
      <c r="AB50" s="67">
        <v>0.90100000000000002</v>
      </c>
    </row>
    <row r="51" spans="1:28" x14ac:dyDescent="0.3">
      <c r="A51" s="66" t="s">
        <v>450</v>
      </c>
      <c r="B51" s="35">
        <v>6.12</v>
      </c>
      <c r="C51" s="35">
        <v>2.77</v>
      </c>
      <c r="D51" s="35">
        <v>2.77</v>
      </c>
      <c r="E51" s="35">
        <v>6.48</v>
      </c>
      <c r="F51" s="35">
        <v>2.06</v>
      </c>
      <c r="G51" s="22">
        <v>134.80000000000001</v>
      </c>
      <c r="H51" s="35"/>
      <c r="I51" s="35"/>
      <c r="J51" s="36">
        <v>0.64700000000000002</v>
      </c>
      <c r="T51" s="66" t="s">
        <v>470</v>
      </c>
      <c r="U51" s="67">
        <v>11.34</v>
      </c>
      <c r="V51" s="67">
        <v>3.3</v>
      </c>
      <c r="W51" s="67">
        <v>6.26</v>
      </c>
      <c r="X51" s="67">
        <v>2.0699999999999998</v>
      </c>
      <c r="Y51" s="67">
        <v>134.80000000000001</v>
      </c>
      <c r="Z51" s="67">
        <v>30.25</v>
      </c>
      <c r="AA51" s="67">
        <v>34.5</v>
      </c>
      <c r="AB51" s="67">
        <v>0.77900000000000003</v>
      </c>
    </row>
    <row r="52" spans="1:28" x14ac:dyDescent="0.3">
      <c r="A52" s="66" t="s">
        <v>451</v>
      </c>
      <c r="B52" s="22">
        <v>5.46</v>
      </c>
      <c r="C52" s="22">
        <v>2.5099999999999998</v>
      </c>
      <c r="D52" s="67">
        <v>2.5099999999999998</v>
      </c>
      <c r="E52" s="22">
        <v>6.07</v>
      </c>
      <c r="F52" s="22">
        <v>1.93</v>
      </c>
      <c r="G52" s="22">
        <v>134.80000000000001</v>
      </c>
      <c r="H52" s="43"/>
      <c r="I52" s="43"/>
      <c r="J52" s="34">
        <v>0.58099999999999996</v>
      </c>
      <c r="T52" s="66" t="s">
        <v>471</v>
      </c>
      <c r="U52" s="67">
        <v>53.6</v>
      </c>
      <c r="V52" s="67">
        <v>9.16</v>
      </c>
      <c r="W52" s="67">
        <v>9.1999999999999993</v>
      </c>
      <c r="X52" s="67">
        <v>2.82</v>
      </c>
      <c r="Y52" s="67">
        <v>134.80000000000001</v>
      </c>
      <c r="Z52" s="67">
        <v>32.5</v>
      </c>
      <c r="AA52" s="67">
        <v>58.7</v>
      </c>
      <c r="AB52" s="67">
        <v>1.401</v>
      </c>
    </row>
    <row r="53" spans="1:28" x14ac:dyDescent="0.3">
      <c r="A53" s="45" t="s">
        <v>452</v>
      </c>
      <c r="B53" s="35">
        <v>6.75</v>
      </c>
      <c r="C53" s="35">
        <v>2.88</v>
      </c>
      <c r="D53" s="35">
        <v>2.88</v>
      </c>
      <c r="E53" s="35">
        <v>9.07</v>
      </c>
      <c r="F53" s="35">
        <v>2.59</v>
      </c>
      <c r="G53" s="35">
        <v>134.80000000000001</v>
      </c>
      <c r="H53" s="35">
        <v>35</v>
      </c>
      <c r="I53" s="35">
        <v>23.4</v>
      </c>
      <c r="J53" s="32">
        <v>0.73199999999999998</v>
      </c>
      <c r="T53" s="66" t="s">
        <v>687</v>
      </c>
      <c r="U53" s="67">
        <v>77.108999999999995</v>
      </c>
      <c r="V53" s="67">
        <v>13.847</v>
      </c>
      <c r="W53" s="67">
        <v>9.7959999999999994</v>
      </c>
      <c r="X53" s="67">
        <v>3.0619999999999998</v>
      </c>
      <c r="Y53" s="67">
        <v>134.80000000000001</v>
      </c>
      <c r="Z53" s="67">
        <v>32</v>
      </c>
      <c r="AA53" s="67">
        <v>55.7</v>
      </c>
      <c r="AB53" s="67">
        <v>1.4</v>
      </c>
    </row>
    <row r="54" spans="1:28" x14ac:dyDescent="0.3">
      <c r="A54" s="45" t="s">
        <v>453</v>
      </c>
      <c r="B54" s="35">
        <v>6.04</v>
      </c>
      <c r="C54" s="35">
        <v>2.61</v>
      </c>
      <c r="D54" s="35">
        <v>2.61</v>
      </c>
      <c r="E54" s="35">
        <v>8.5</v>
      </c>
      <c r="F54" s="35">
        <v>2.4300000000000002</v>
      </c>
      <c r="G54" s="35">
        <v>134.80000000000001</v>
      </c>
      <c r="H54" s="35">
        <v>35</v>
      </c>
      <c r="I54" s="35">
        <v>23.14</v>
      </c>
      <c r="J54" s="32">
        <v>0.65900000000000003</v>
      </c>
      <c r="T54" s="66" t="s">
        <v>472</v>
      </c>
      <c r="U54" s="67">
        <v>51.22</v>
      </c>
      <c r="V54" s="67">
        <v>8.9700000000000006</v>
      </c>
      <c r="W54" s="67">
        <v>7.56</v>
      </c>
      <c r="X54" s="67">
        <v>2.42</v>
      </c>
      <c r="Y54" s="67">
        <v>134.80000000000001</v>
      </c>
      <c r="Z54" s="67">
        <v>31.3</v>
      </c>
      <c r="AA54" s="67">
        <v>57.4</v>
      </c>
      <c r="AB54" s="67">
        <v>1.349</v>
      </c>
    </row>
    <row r="55" spans="1:28" x14ac:dyDescent="0.3">
      <c r="A55" s="45" t="s">
        <v>484</v>
      </c>
      <c r="B55" s="43">
        <v>5.19</v>
      </c>
      <c r="C55" s="43">
        <v>2.2000000000000002</v>
      </c>
      <c r="D55" s="67">
        <v>2.2000000000000002</v>
      </c>
      <c r="E55" s="43">
        <v>7.18</v>
      </c>
      <c r="F55" s="43">
        <v>2.0499999999999998</v>
      </c>
      <c r="G55" s="43">
        <v>134.80000000000001</v>
      </c>
      <c r="H55" s="43">
        <v>35</v>
      </c>
      <c r="I55" s="43">
        <v>23.5</v>
      </c>
      <c r="J55" s="44">
        <v>0.54800000000000004</v>
      </c>
      <c r="S55" s="63"/>
      <c r="T55" s="66" t="s">
        <v>688</v>
      </c>
      <c r="U55" s="67">
        <v>73.537000000000006</v>
      </c>
      <c r="V55" s="67">
        <v>13.026</v>
      </c>
      <c r="W55" s="67">
        <v>8.16</v>
      </c>
      <c r="X55" s="67">
        <v>2.6120000000000001</v>
      </c>
      <c r="Y55" s="67">
        <v>134.80000000000001</v>
      </c>
      <c r="Z55" s="67">
        <v>31.2</v>
      </c>
      <c r="AA55" s="67">
        <v>56.5</v>
      </c>
      <c r="AB55" s="67">
        <v>2.1960000000000002</v>
      </c>
    </row>
    <row r="56" spans="1:28" s="63" customFormat="1" x14ac:dyDescent="0.3">
      <c r="A56" s="66" t="s">
        <v>454</v>
      </c>
      <c r="B56" s="67">
        <v>48.73</v>
      </c>
      <c r="C56" s="67">
        <v>7.99</v>
      </c>
      <c r="D56" s="67">
        <v>7.99</v>
      </c>
      <c r="E56" s="67">
        <v>11.98</v>
      </c>
      <c r="F56" s="67">
        <v>3.02</v>
      </c>
      <c r="G56" s="67">
        <v>134.80000000000001</v>
      </c>
      <c r="H56" s="67">
        <v>39.6</v>
      </c>
      <c r="I56" s="67">
        <v>61</v>
      </c>
      <c r="J56" s="68">
        <v>1.238</v>
      </c>
      <c r="L56" s="2"/>
      <c r="M56" s="2"/>
      <c r="N56" s="2"/>
      <c r="O56" s="2"/>
      <c r="P56" s="2"/>
      <c r="Q56" s="2"/>
      <c r="R56" s="2"/>
      <c r="T56" s="66" t="s">
        <v>474</v>
      </c>
      <c r="U56" s="67">
        <v>58.55</v>
      </c>
      <c r="V56" s="67">
        <v>11.48</v>
      </c>
      <c r="W56" s="67">
        <v>14.16</v>
      </c>
      <c r="X56" s="67">
        <v>4.05</v>
      </c>
      <c r="Y56" s="67">
        <v>122.3</v>
      </c>
      <c r="Z56" s="67">
        <v>35</v>
      </c>
      <c r="AA56" s="67">
        <v>51</v>
      </c>
      <c r="AB56" s="68">
        <v>1.4259999999999999</v>
      </c>
    </row>
    <row r="57" spans="1:28" s="63" customFormat="1" x14ac:dyDescent="0.3">
      <c r="A57" s="66" t="s">
        <v>699</v>
      </c>
      <c r="B57" s="67">
        <v>28.65</v>
      </c>
      <c r="C57" s="67">
        <v>5.99</v>
      </c>
      <c r="D57" s="67">
        <v>5.99</v>
      </c>
      <c r="E57" s="43">
        <v>11.17</v>
      </c>
      <c r="F57" s="43">
        <v>2.87</v>
      </c>
      <c r="G57" s="43">
        <v>134.80000000000001</v>
      </c>
      <c r="H57" s="43"/>
      <c r="I57" s="43"/>
      <c r="J57" s="44">
        <v>1.111</v>
      </c>
      <c r="L57" s="2"/>
      <c r="M57" s="2"/>
      <c r="N57" s="2"/>
      <c r="O57" s="2"/>
      <c r="P57" s="2"/>
      <c r="Q57" s="2"/>
      <c r="R57" s="2"/>
      <c r="T57" s="66" t="s">
        <v>475</v>
      </c>
      <c r="U57" s="67">
        <v>84.33</v>
      </c>
      <c r="V57" s="67">
        <v>14.6</v>
      </c>
      <c r="W57" s="67">
        <v>15.2</v>
      </c>
      <c r="X57" s="67">
        <v>4.34</v>
      </c>
      <c r="Y57" s="67">
        <v>122.3</v>
      </c>
      <c r="Z57" s="67">
        <v>35</v>
      </c>
      <c r="AA57" s="67">
        <v>57.6</v>
      </c>
      <c r="AB57" s="68">
        <v>1.5309999999999999</v>
      </c>
    </row>
    <row r="58" spans="1:28" s="63" customFormat="1" x14ac:dyDescent="0.3">
      <c r="A58" s="66" t="s">
        <v>455</v>
      </c>
      <c r="B58" s="67">
        <v>45.3</v>
      </c>
      <c r="C58" s="67">
        <v>7.68</v>
      </c>
      <c r="D58" s="67">
        <v>7.68</v>
      </c>
      <c r="E58" s="43">
        <v>10.53</v>
      </c>
      <c r="F58" s="43">
        <v>2.75</v>
      </c>
      <c r="G58" s="43">
        <v>134.80000000000001</v>
      </c>
      <c r="H58" s="43">
        <v>38.299999999999997</v>
      </c>
      <c r="I58" s="43">
        <v>59</v>
      </c>
      <c r="J58" s="44">
        <v>1.177</v>
      </c>
      <c r="L58" s="2"/>
      <c r="M58" s="2"/>
      <c r="N58" s="2"/>
      <c r="O58" s="2"/>
      <c r="P58" s="2"/>
      <c r="Q58" s="2"/>
      <c r="R58" s="2"/>
      <c r="T58" s="66" t="s">
        <v>476</v>
      </c>
      <c r="U58" s="67">
        <v>37.57</v>
      </c>
      <c r="V58" s="67">
        <v>8.5399999999999991</v>
      </c>
      <c r="W58" s="67">
        <v>13.08</v>
      </c>
      <c r="X58" s="67">
        <v>3.74</v>
      </c>
      <c r="Y58" s="67">
        <v>122.3</v>
      </c>
      <c r="Z58" s="67">
        <v>35</v>
      </c>
      <c r="AA58" s="67">
        <v>44</v>
      </c>
      <c r="AB58" s="68">
        <v>1.3</v>
      </c>
    </row>
    <row r="59" spans="1:28" s="63" customFormat="1" x14ac:dyDescent="0.3">
      <c r="A59" s="66" t="s">
        <v>715</v>
      </c>
      <c r="B59" s="67">
        <v>25.227</v>
      </c>
      <c r="C59" s="67">
        <v>5.2469999999999999</v>
      </c>
      <c r="D59" s="67">
        <v>5.2469999999999999</v>
      </c>
      <c r="E59" s="67">
        <v>25.227</v>
      </c>
      <c r="F59" s="67">
        <v>5.2469999999999999</v>
      </c>
      <c r="G59" s="67">
        <v>134.80000000000001</v>
      </c>
      <c r="H59" s="67">
        <v>33.9</v>
      </c>
      <c r="I59" s="67">
        <v>48.1</v>
      </c>
      <c r="J59" s="68">
        <v>1.6539999999999999</v>
      </c>
      <c r="L59" s="2"/>
      <c r="M59" s="2"/>
      <c r="N59" s="2"/>
      <c r="O59" s="2"/>
      <c r="P59" s="2"/>
      <c r="Q59" s="2"/>
      <c r="R59" s="2"/>
      <c r="T59" s="66" t="s">
        <v>477</v>
      </c>
      <c r="U59" s="67">
        <v>25.2</v>
      </c>
      <c r="V59" s="67">
        <v>6.03</v>
      </c>
      <c r="W59" s="67">
        <v>6.26</v>
      </c>
      <c r="X59" s="67">
        <v>2.37</v>
      </c>
      <c r="Y59" s="67">
        <v>134.80000000000001</v>
      </c>
      <c r="Z59" s="67">
        <v>26.5</v>
      </c>
      <c r="AA59" s="67">
        <v>41.8</v>
      </c>
      <c r="AB59" s="68">
        <v>1.008</v>
      </c>
    </row>
    <row r="60" spans="1:28" s="63" customFormat="1" x14ac:dyDescent="0.3">
      <c r="A60" s="66" t="s">
        <v>716</v>
      </c>
      <c r="B60" s="67">
        <v>41.927999999999997</v>
      </c>
      <c r="C60" s="67">
        <v>6.8380000000000001</v>
      </c>
      <c r="D60" s="67">
        <v>6.8380000000000001</v>
      </c>
      <c r="E60" s="67">
        <v>41.927999999999997</v>
      </c>
      <c r="F60" s="67">
        <v>6.8380000000000001</v>
      </c>
      <c r="G60" s="67">
        <v>134.80000000000001</v>
      </c>
      <c r="H60" s="67">
        <v>61.3</v>
      </c>
      <c r="I60" s="67">
        <v>37.700000000000003</v>
      </c>
      <c r="J60" s="68">
        <v>1.893</v>
      </c>
      <c r="L60" s="2"/>
      <c r="M60" s="2"/>
      <c r="N60" s="2"/>
      <c r="O60" s="2"/>
      <c r="P60" s="2"/>
      <c r="Q60" s="2"/>
      <c r="R60" s="2"/>
      <c r="T60" s="66" t="s">
        <v>478</v>
      </c>
      <c r="U60" s="67">
        <v>58.22</v>
      </c>
      <c r="V60" s="67">
        <v>11.3</v>
      </c>
      <c r="W60" s="67">
        <v>12.13</v>
      </c>
      <c r="X60" s="67">
        <v>3.6</v>
      </c>
      <c r="Y60" s="67">
        <v>122.3</v>
      </c>
      <c r="Z60" s="67">
        <v>33.72</v>
      </c>
      <c r="AA60" s="67">
        <v>51.5</v>
      </c>
      <c r="AB60" s="68">
        <v>1.367</v>
      </c>
    </row>
    <row r="61" spans="1:28" s="63" customFormat="1" x14ac:dyDescent="0.3">
      <c r="A61" s="66" t="s">
        <v>459</v>
      </c>
      <c r="B61" s="43">
        <v>13.69</v>
      </c>
      <c r="C61" s="43">
        <v>3.97</v>
      </c>
      <c r="D61" s="67">
        <v>3.97</v>
      </c>
      <c r="E61" s="43">
        <v>4.08</v>
      </c>
      <c r="F61" s="43">
        <v>1.54</v>
      </c>
      <c r="G61" s="43">
        <v>134.80000000000001</v>
      </c>
      <c r="H61" s="43">
        <v>26.5</v>
      </c>
      <c r="I61" s="43">
        <v>34.5</v>
      </c>
      <c r="J61" s="44">
        <v>0.79700000000000004</v>
      </c>
      <c r="L61" s="2"/>
      <c r="M61" s="2"/>
      <c r="N61" s="2"/>
      <c r="O61" s="2"/>
      <c r="P61" s="2"/>
      <c r="Q61" s="2"/>
      <c r="R61" s="2"/>
      <c r="T61" s="66" t="s">
        <v>479</v>
      </c>
      <c r="U61" s="67">
        <v>83.54</v>
      </c>
      <c r="V61" s="67">
        <v>14.33</v>
      </c>
      <c r="W61" s="67">
        <v>13.18</v>
      </c>
      <c r="X61" s="67">
        <v>3.9</v>
      </c>
      <c r="Y61" s="67">
        <v>122.3</v>
      </c>
      <c r="Z61" s="67">
        <v>33.799999999999997</v>
      </c>
      <c r="AA61" s="67">
        <v>58.3</v>
      </c>
      <c r="AB61" s="68">
        <v>1.472</v>
      </c>
    </row>
    <row r="62" spans="1:28" s="63" customFormat="1" x14ac:dyDescent="0.3">
      <c r="A62" s="66" t="s">
        <v>704</v>
      </c>
      <c r="B62" s="67">
        <v>1.21</v>
      </c>
      <c r="C62" s="67">
        <v>0.98</v>
      </c>
      <c r="D62" s="67">
        <v>0.98</v>
      </c>
      <c r="E62" s="67">
        <v>4.26</v>
      </c>
      <c r="F62" s="67">
        <v>1.45</v>
      </c>
      <c r="G62" s="67">
        <v>134.80000000000001</v>
      </c>
      <c r="H62" s="67"/>
      <c r="I62" s="67"/>
      <c r="J62" s="68">
        <v>0.57299999999999995</v>
      </c>
      <c r="L62" s="2"/>
      <c r="M62" s="2"/>
      <c r="N62" s="2"/>
      <c r="O62" s="2"/>
      <c r="P62" s="2"/>
      <c r="Q62" s="2"/>
      <c r="R62" s="2"/>
      <c r="T62" s="66" t="s">
        <v>480</v>
      </c>
      <c r="U62" s="67">
        <v>37.5</v>
      </c>
      <c r="V62" s="67">
        <v>8.4600000000000009</v>
      </c>
      <c r="W62" s="67">
        <v>11.04</v>
      </c>
      <c r="X62" s="67">
        <v>3.29</v>
      </c>
      <c r="Y62" s="67">
        <v>122.3</v>
      </c>
      <c r="Z62" s="67">
        <v>33.6</v>
      </c>
      <c r="AA62" s="67">
        <v>44.3</v>
      </c>
      <c r="AB62" s="68">
        <v>1.2410000000000001</v>
      </c>
    </row>
    <row r="63" spans="1:28" s="63" customFormat="1" x14ac:dyDescent="0.3">
      <c r="A63" s="66" t="s">
        <v>705</v>
      </c>
      <c r="B63" s="67">
        <v>6.84</v>
      </c>
      <c r="C63" s="67">
        <v>2.31</v>
      </c>
      <c r="D63" s="67">
        <v>2.31</v>
      </c>
      <c r="E63" s="67">
        <v>6.66</v>
      </c>
      <c r="F63" s="67">
        <v>1.86</v>
      </c>
      <c r="G63" s="67">
        <v>134.80000000000001</v>
      </c>
      <c r="H63" s="67"/>
      <c r="I63" s="67"/>
      <c r="J63" s="68">
        <v>0.68500000000000005</v>
      </c>
      <c r="L63" s="2"/>
      <c r="M63" s="2"/>
      <c r="N63" s="2"/>
      <c r="O63" s="2"/>
      <c r="P63" s="2"/>
      <c r="Q63" s="2"/>
      <c r="R63" s="2"/>
      <c r="T63" s="66" t="s">
        <v>481</v>
      </c>
      <c r="U63" s="67">
        <v>57.87</v>
      </c>
      <c r="V63" s="67">
        <v>11.1</v>
      </c>
      <c r="W63" s="67">
        <v>10.27</v>
      </c>
      <c r="X63" s="67">
        <v>4.8899999999999997</v>
      </c>
      <c r="Y63" s="67">
        <v>122.3</v>
      </c>
      <c r="Z63" s="67">
        <v>21</v>
      </c>
      <c r="AA63" s="67">
        <v>52.1</v>
      </c>
      <c r="AB63" s="68">
        <v>1.3080000000000001</v>
      </c>
    </row>
    <row r="64" spans="1:28" s="63" customFormat="1" x14ac:dyDescent="0.3">
      <c r="A64" s="66" t="s">
        <v>460</v>
      </c>
      <c r="B64" s="43">
        <v>8.1199999999999992</v>
      </c>
      <c r="C64" s="43">
        <v>2.4300000000000002</v>
      </c>
      <c r="D64" s="67">
        <v>2.4300000000000002</v>
      </c>
      <c r="E64" s="43">
        <v>8.1199999999999992</v>
      </c>
      <c r="F64" s="43">
        <v>2.4300000000000002</v>
      </c>
      <c r="G64" s="43">
        <v>134.80000000000001</v>
      </c>
      <c r="H64" s="43"/>
      <c r="I64" s="43"/>
      <c r="J64" s="44">
        <v>0.70799999999999996</v>
      </c>
      <c r="L64" s="2"/>
      <c r="M64" s="2"/>
      <c r="N64" s="2"/>
      <c r="O64" s="2"/>
      <c r="P64" s="2"/>
      <c r="Q64" s="2"/>
      <c r="R64" s="2"/>
      <c r="T64" s="66" t="s">
        <v>482</v>
      </c>
      <c r="U64" s="67">
        <v>37.44</v>
      </c>
      <c r="V64" s="67">
        <v>8.41</v>
      </c>
      <c r="W64" s="67">
        <v>9.19</v>
      </c>
      <c r="X64" s="67">
        <v>4.37</v>
      </c>
      <c r="Y64" s="67">
        <v>122.3</v>
      </c>
      <c r="Z64" s="67">
        <v>21</v>
      </c>
      <c r="AA64" s="67">
        <v>44.5</v>
      </c>
      <c r="AB64" s="68">
        <v>1.1819999999999999</v>
      </c>
    </row>
    <row r="65" spans="1:28" s="63" customFormat="1" x14ac:dyDescent="0.3">
      <c r="A65" s="66" t="s">
        <v>461</v>
      </c>
      <c r="B65" s="43">
        <v>5.7</v>
      </c>
      <c r="C65" s="43">
        <v>2.79</v>
      </c>
      <c r="D65" s="67">
        <v>2.79</v>
      </c>
      <c r="E65" s="43">
        <v>5.32</v>
      </c>
      <c r="F65" s="43">
        <v>2.5299999999999998</v>
      </c>
      <c r="G65" s="43">
        <v>134.80000000000001</v>
      </c>
      <c r="H65" s="43">
        <v>21</v>
      </c>
      <c r="I65" s="43">
        <v>20.399999999999999</v>
      </c>
      <c r="J65" s="44">
        <v>0.63</v>
      </c>
      <c r="L65" s="2"/>
      <c r="M65" s="2"/>
      <c r="N65" s="2"/>
      <c r="O65" s="2"/>
      <c r="P65" s="2"/>
      <c r="Q65" s="2"/>
      <c r="R65" s="2"/>
      <c r="T65" s="66"/>
      <c r="U65" s="67"/>
      <c r="V65" s="67"/>
      <c r="W65" s="67"/>
      <c r="X65" s="67"/>
      <c r="Y65" s="40"/>
      <c r="Z65" s="40"/>
      <c r="AA65" s="40"/>
      <c r="AB65" s="68"/>
    </row>
    <row r="66" spans="1:28" s="63" customFormat="1" x14ac:dyDescent="0.3">
      <c r="A66" s="66" t="s">
        <v>473</v>
      </c>
      <c r="B66" s="43">
        <v>22</v>
      </c>
      <c r="C66" s="43">
        <v>4.84</v>
      </c>
      <c r="D66" s="67">
        <v>4.84</v>
      </c>
      <c r="E66" s="43">
        <v>22</v>
      </c>
      <c r="F66" s="43">
        <v>4.84</v>
      </c>
      <c r="G66" s="40">
        <v>134.80000000000001</v>
      </c>
      <c r="H66" s="40"/>
      <c r="I66" s="40"/>
      <c r="J66" s="44">
        <v>1.0209999999999999</v>
      </c>
      <c r="L66" s="2"/>
      <c r="M66" s="2"/>
      <c r="N66" s="2"/>
      <c r="O66" s="2"/>
      <c r="P66" s="2"/>
      <c r="Q66" s="2"/>
      <c r="R66" s="2"/>
      <c r="T66" s="66"/>
      <c r="U66" s="67"/>
      <c r="V66" s="67"/>
      <c r="W66" s="67"/>
      <c r="X66" s="67"/>
      <c r="Y66" s="40"/>
      <c r="Z66" s="40"/>
      <c r="AA66" s="40"/>
      <c r="AB66" s="68"/>
    </row>
    <row r="67" spans="1:28" s="63" customFormat="1" x14ac:dyDescent="0.3">
      <c r="A67" s="66" t="s">
        <v>474</v>
      </c>
      <c r="B67" s="67">
        <v>58.55</v>
      </c>
      <c r="C67" s="67">
        <v>11.48</v>
      </c>
      <c r="D67" s="67">
        <v>11.48</v>
      </c>
      <c r="E67" s="67">
        <v>14.16</v>
      </c>
      <c r="F67" s="67">
        <v>4.05</v>
      </c>
      <c r="G67" s="67">
        <v>122.3</v>
      </c>
      <c r="H67" s="67">
        <v>35</v>
      </c>
      <c r="I67" s="67">
        <v>51</v>
      </c>
      <c r="J67" s="68">
        <v>1.4259999999999999</v>
      </c>
      <c r="T67" s="66"/>
      <c r="U67" s="67"/>
      <c r="V67" s="67"/>
      <c r="W67" s="67"/>
      <c r="X67" s="67"/>
      <c r="Y67" s="40"/>
      <c r="Z67" s="40"/>
      <c r="AA67" s="40"/>
      <c r="AB67" s="68"/>
    </row>
    <row r="68" spans="1:28" s="63" customFormat="1" x14ac:dyDescent="0.3">
      <c r="A68" s="66" t="s">
        <v>712</v>
      </c>
      <c r="B68" s="67">
        <v>72.171000000000006</v>
      </c>
      <c r="C68" s="67">
        <v>10.798</v>
      </c>
      <c r="D68" s="67">
        <v>10.798</v>
      </c>
      <c r="E68" s="67">
        <v>72.17</v>
      </c>
      <c r="F68" s="67">
        <v>10.798</v>
      </c>
      <c r="G68" s="67">
        <v>122.3</v>
      </c>
      <c r="H68" s="67">
        <v>66.8</v>
      </c>
      <c r="I68" s="67">
        <v>56.8</v>
      </c>
      <c r="J68" s="68">
        <v>2.4209999999999998</v>
      </c>
      <c r="T68" s="66"/>
      <c r="U68" s="67"/>
      <c r="V68" s="67"/>
      <c r="W68" s="67"/>
      <c r="X68" s="67"/>
      <c r="Y68" s="40"/>
      <c r="Z68" s="40"/>
      <c r="AA68" s="40"/>
      <c r="AB68" s="68"/>
    </row>
    <row r="69" spans="1:28" s="63" customFormat="1" x14ac:dyDescent="0.3">
      <c r="A69" s="66" t="s">
        <v>709</v>
      </c>
      <c r="B69" s="67">
        <v>86.025000000000006</v>
      </c>
      <c r="C69" s="67">
        <v>11.506</v>
      </c>
      <c r="D69" s="67">
        <v>11.51</v>
      </c>
      <c r="E69" s="67">
        <v>86.001000000000005</v>
      </c>
      <c r="F69" s="67">
        <v>11.505000000000001</v>
      </c>
      <c r="G69" s="67">
        <v>122.3</v>
      </c>
      <c r="H69" s="67">
        <v>74</v>
      </c>
      <c r="I69" s="67">
        <v>58</v>
      </c>
      <c r="J69" s="68">
        <v>2.5510000000000002</v>
      </c>
      <c r="T69" s="66"/>
      <c r="U69" s="67"/>
      <c r="V69" s="67"/>
      <c r="W69" s="67"/>
      <c r="X69" s="67"/>
      <c r="Y69" s="40"/>
      <c r="Z69" s="40"/>
      <c r="AA69" s="40"/>
      <c r="AB69" s="68"/>
    </row>
    <row r="70" spans="1:28" s="63" customFormat="1" x14ac:dyDescent="0.3">
      <c r="A70" s="66" t="s">
        <v>475</v>
      </c>
      <c r="B70" s="67">
        <v>84.33</v>
      </c>
      <c r="C70" s="67">
        <v>14.6</v>
      </c>
      <c r="D70" s="67">
        <v>14.6</v>
      </c>
      <c r="E70" s="43">
        <v>15.2</v>
      </c>
      <c r="F70" s="43">
        <v>4.34</v>
      </c>
      <c r="G70" s="43">
        <v>122.3</v>
      </c>
      <c r="H70" s="43">
        <v>35</v>
      </c>
      <c r="I70" s="43">
        <v>57.6</v>
      </c>
      <c r="J70" s="44">
        <v>1.5309999999999999</v>
      </c>
      <c r="T70" s="66"/>
      <c r="U70" s="67"/>
      <c r="V70" s="67"/>
      <c r="W70" s="67"/>
      <c r="X70" s="67"/>
      <c r="Y70" s="40"/>
      <c r="Z70" s="40"/>
      <c r="AA70" s="40"/>
      <c r="AB70" s="68"/>
    </row>
    <row r="71" spans="1:28" s="63" customFormat="1" x14ac:dyDescent="0.3">
      <c r="A71" s="66" t="s">
        <v>711</v>
      </c>
      <c r="B71" s="67">
        <v>89.808000000000007</v>
      </c>
      <c r="C71" s="67">
        <v>12.814</v>
      </c>
      <c r="D71" s="67">
        <v>12.814</v>
      </c>
      <c r="E71" s="67">
        <v>89.808000000000007</v>
      </c>
      <c r="F71" s="67">
        <v>12.814</v>
      </c>
      <c r="G71" s="67">
        <v>122.3</v>
      </c>
      <c r="H71" s="67">
        <v>70.099999999999994</v>
      </c>
      <c r="I71" s="67">
        <v>54.2</v>
      </c>
      <c r="J71" s="68">
        <v>2.5259999999999998</v>
      </c>
      <c r="T71" s="66"/>
      <c r="U71" s="67"/>
      <c r="V71" s="67"/>
      <c r="W71" s="67"/>
      <c r="X71" s="67"/>
      <c r="Y71" s="40"/>
      <c r="Z71" s="40"/>
      <c r="AA71" s="40"/>
      <c r="AB71" s="68"/>
    </row>
    <row r="72" spans="1:28" s="63" customFormat="1" x14ac:dyDescent="0.3">
      <c r="A72" s="66" t="s">
        <v>708</v>
      </c>
      <c r="B72" s="67">
        <v>104.55500000000001</v>
      </c>
      <c r="C72" s="67">
        <v>13.414999999999999</v>
      </c>
      <c r="D72" s="67">
        <v>13.414999999999999</v>
      </c>
      <c r="E72" s="67">
        <v>104.53400000000001</v>
      </c>
      <c r="F72" s="67">
        <v>13.414999999999999</v>
      </c>
      <c r="G72" s="67">
        <v>122.3</v>
      </c>
      <c r="H72" s="67">
        <v>77.900000000000006</v>
      </c>
      <c r="I72" s="67">
        <v>66.3</v>
      </c>
      <c r="J72" s="68">
        <v>2.6560000000000001</v>
      </c>
      <c r="T72" s="66"/>
      <c r="U72" s="67"/>
      <c r="V72" s="67"/>
      <c r="W72" s="67"/>
      <c r="X72" s="67"/>
      <c r="Y72" s="40"/>
      <c r="Z72" s="40"/>
      <c r="AA72" s="40"/>
      <c r="AB72" s="68"/>
    </row>
    <row r="73" spans="1:28" s="63" customFormat="1" x14ac:dyDescent="0.3">
      <c r="A73" s="66" t="s">
        <v>476</v>
      </c>
      <c r="B73" s="67">
        <v>37.57</v>
      </c>
      <c r="C73" s="67">
        <v>8.5399999999999991</v>
      </c>
      <c r="D73" s="67">
        <v>8.5399999999999991</v>
      </c>
      <c r="E73" s="43">
        <v>13.08</v>
      </c>
      <c r="F73" s="43">
        <v>3.74</v>
      </c>
      <c r="G73" s="43">
        <v>122.3</v>
      </c>
      <c r="H73" s="43">
        <v>35</v>
      </c>
      <c r="I73" s="43">
        <v>44</v>
      </c>
      <c r="J73" s="44">
        <v>1.3</v>
      </c>
      <c r="T73" s="66"/>
      <c r="U73" s="67"/>
      <c r="V73" s="67"/>
      <c r="W73" s="67"/>
      <c r="X73" s="67"/>
      <c r="Y73" s="40"/>
      <c r="Z73" s="40"/>
      <c r="AA73" s="40"/>
      <c r="AB73" s="68"/>
    </row>
    <row r="74" spans="1:28" s="63" customFormat="1" x14ac:dyDescent="0.3">
      <c r="A74" s="66" t="s">
        <v>713</v>
      </c>
      <c r="B74" s="67">
        <v>57.542000000000002</v>
      </c>
      <c r="C74" s="67">
        <v>9.0649999999999995</v>
      </c>
      <c r="D74" s="67">
        <v>9.0649999999999995</v>
      </c>
      <c r="E74" s="67">
        <v>57.542000000000002</v>
      </c>
      <c r="F74" s="67">
        <v>9.0649999999999995</v>
      </c>
      <c r="G74" s="67">
        <v>122.3</v>
      </c>
      <c r="H74" s="67">
        <v>63.5</v>
      </c>
      <c r="I74" s="67">
        <v>49.6</v>
      </c>
      <c r="J74" s="68">
        <v>2.2949999999999999</v>
      </c>
      <c r="T74" s="66"/>
      <c r="U74" s="67"/>
      <c r="V74" s="67"/>
      <c r="W74" s="67"/>
      <c r="X74" s="67"/>
      <c r="Y74" s="40"/>
      <c r="Z74" s="40"/>
      <c r="AA74" s="40"/>
      <c r="AB74" s="68"/>
    </row>
    <row r="75" spans="1:28" s="63" customFormat="1" x14ac:dyDescent="0.3">
      <c r="A75" s="66" t="s">
        <v>707</v>
      </c>
      <c r="B75" s="67">
        <v>70.543000000000006</v>
      </c>
      <c r="C75" s="67">
        <v>9.8699999999999992</v>
      </c>
      <c r="D75" s="67">
        <v>9.8699999999999992</v>
      </c>
      <c r="E75" s="67">
        <v>70.522000000000006</v>
      </c>
      <c r="F75" s="67">
        <v>9.8680000000000003</v>
      </c>
      <c r="G75" s="67">
        <v>122.3</v>
      </c>
      <c r="H75" s="67">
        <v>71.5</v>
      </c>
      <c r="I75" s="67">
        <v>51.6</v>
      </c>
      <c r="J75" s="68">
        <v>2.4249999999999998</v>
      </c>
      <c r="T75" s="66"/>
      <c r="U75" s="67"/>
      <c r="V75" s="67"/>
      <c r="W75" s="67"/>
      <c r="X75" s="67"/>
      <c r="Y75" s="40"/>
      <c r="Z75" s="40"/>
      <c r="AA75" s="40"/>
      <c r="AB75" s="68"/>
    </row>
    <row r="76" spans="1:28" s="63" customFormat="1" x14ac:dyDescent="0.3">
      <c r="A76" s="66" t="s">
        <v>477</v>
      </c>
      <c r="B76" s="67">
        <v>25.2</v>
      </c>
      <c r="C76" s="67">
        <v>6.03</v>
      </c>
      <c r="D76" s="67">
        <v>6.03</v>
      </c>
      <c r="E76" s="43">
        <v>6.26</v>
      </c>
      <c r="F76" s="43">
        <v>2.37</v>
      </c>
      <c r="G76" s="67">
        <v>134.80000000000001</v>
      </c>
      <c r="H76" s="43">
        <v>26.5</v>
      </c>
      <c r="I76" s="43">
        <v>41.8</v>
      </c>
      <c r="J76" s="44">
        <v>1.008</v>
      </c>
      <c r="T76" s="66"/>
      <c r="U76" s="67"/>
      <c r="V76" s="67"/>
      <c r="W76" s="67"/>
      <c r="X76" s="67"/>
      <c r="Y76" s="40"/>
      <c r="Z76" s="40"/>
      <c r="AA76" s="40"/>
      <c r="AB76" s="68"/>
    </row>
    <row r="77" spans="1:28" s="63" customFormat="1" x14ac:dyDescent="0.3">
      <c r="A77" s="66" t="s">
        <v>714</v>
      </c>
      <c r="B77" s="67">
        <v>38.633000000000003</v>
      </c>
      <c r="C77" s="67">
        <v>7</v>
      </c>
      <c r="D77" s="67">
        <v>7</v>
      </c>
      <c r="E77" s="67">
        <v>38.633000000000003</v>
      </c>
      <c r="F77" s="67">
        <v>7</v>
      </c>
      <c r="G77" s="67">
        <v>134.80000000000001</v>
      </c>
      <c r="H77" s="67">
        <v>55.2</v>
      </c>
      <c r="I77" s="67">
        <v>50.4</v>
      </c>
      <c r="J77" s="68">
        <v>2.0030000000000001</v>
      </c>
      <c r="T77" s="66"/>
      <c r="U77" s="67"/>
      <c r="V77" s="67"/>
      <c r="W77" s="67"/>
      <c r="X77" s="67"/>
      <c r="Y77" s="40"/>
      <c r="Z77" s="40"/>
      <c r="AA77" s="40"/>
      <c r="AB77" s="68"/>
    </row>
    <row r="78" spans="1:28" s="63" customFormat="1" x14ac:dyDescent="0.3">
      <c r="A78" s="66" t="s">
        <v>710</v>
      </c>
      <c r="B78" s="67">
        <v>49.095999999999997</v>
      </c>
      <c r="C78" s="67">
        <v>7.7869999999999999</v>
      </c>
      <c r="D78" s="67">
        <v>7.7869999999999999</v>
      </c>
      <c r="E78" s="67">
        <v>49.095999999999997</v>
      </c>
      <c r="F78" s="67">
        <v>7.7869999999999999</v>
      </c>
      <c r="G78" s="67">
        <v>134.80000000000001</v>
      </c>
      <c r="H78" s="67">
        <v>63</v>
      </c>
      <c r="I78" s="67">
        <v>52.6</v>
      </c>
      <c r="J78" s="68">
        <v>2.133</v>
      </c>
      <c r="T78" s="66"/>
      <c r="U78" s="67"/>
      <c r="V78" s="67"/>
      <c r="W78" s="67"/>
      <c r="X78" s="67"/>
      <c r="Y78" s="40"/>
      <c r="Z78" s="40"/>
      <c r="AA78" s="40"/>
      <c r="AB78" s="68"/>
    </row>
    <row r="79" spans="1:28" s="63" customFormat="1" x14ac:dyDescent="0.3">
      <c r="A79" s="66" t="s">
        <v>478</v>
      </c>
      <c r="B79" s="67">
        <v>58.22</v>
      </c>
      <c r="C79" s="67">
        <v>11.3</v>
      </c>
      <c r="D79" s="67">
        <v>11.3</v>
      </c>
      <c r="E79" s="43">
        <v>12.13</v>
      </c>
      <c r="F79" s="43">
        <v>3.6</v>
      </c>
      <c r="G79" s="43">
        <v>122.3</v>
      </c>
      <c r="H79" s="43">
        <v>33.72</v>
      </c>
      <c r="I79" s="43">
        <v>51.5</v>
      </c>
      <c r="J79" s="44">
        <v>1.367</v>
      </c>
      <c r="T79" s="66"/>
      <c r="U79" s="67"/>
      <c r="V79" s="67"/>
      <c r="W79" s="67"/>
      <c r="X79" s="67"/>
      <c r="Y79" s="40"/>
      <c r="Z79" s="40"/>
      <c r="AA79" s="40"/>
      <c r="AB79" s="68"/>
    </row>
    <row r="80" spans="1:28" s="63" customFormat="1" x14ac:dyDescent="0.3">
      <c r="A80" s="66" t="s">
        <v>479</v>
      </c>
      <c r="B80" s="67">
        <v>83.54</v>
      </c>
      <c r="C80" s="67">
        <v>14.33</v>
      </c>
      <c r="D80" s="67">
        <v>14.33</v>
      </c>
      <c r="E80" s="43">
        <v>13.18</v>
      </c>
      <c r="F80" s="43">
        <v>3.9</v>
      </c>
      <c r="G80" s="43">
        <v>122.3</v>
      </c>
      <c r="H80" s="43">
        <v>33.799999999999997</v>
      </c>
      <c r="I80" s="43">
        <v>58.3</v>
      </c>
      <c r="J80" s="44">
        <v>1.472</v>
      </c>
      <c r="T80" s="66"/>
      <c r="U80" s="67"/>
      <c r="V80" s="67"/>
      <c r="W80" s="67"/>
      <c r="X80" s="67"/>
      <c r="Y80" s="40"/>
      <c r="Z80" s="40"/>
      <c r="AA80" s="40"/>
      <c r="AB80" s="68"/>
    </row>
    <row r="81" spans="1:28" s="63" customFormat="1" x14ac:dyDescent="0.3">
      <c r="A81" s="66" t="s">
        <v>480</v>
      </c>
      <c r="B81" s="67">
        <v>37.5</v>
      </c>
      <c r="C81" s="67">
        <v>8.4600000000000009</v>
      </c>
      <c r="D81" s="67">
        <v>8.4600000000000009</v>
      </c>
      <c r="E81" s="43">
        <v>11.04</v>
      </c>
      <c r="F81" s="43">
        <v>3.29</v>
      </c>
      <c r="G81" s="43">
        <v>122.3</v>
      </c>
      <c r="H81" s="43">
        <v>33.6</v>
      </c>
      <c r="I81" s="43">
        <v>44.3</v>
      </c>
      <c r="J81" s="44">
        <v>1.2410000000000001</v>
      </c>
      <c r="T81" s="66"/>
      <c r="U81" s="67"/>
      <c r="V81" s="67"/>
      <c r="W81" s="67"/>
      <c r="X81" s="67"/>
      <c r="Y81" s="40"/>
      <c r="Z81" s="40"/>
      <c r="AA81" s="40"/>
      <c r="AB81" s="68"/>
    </row>
    <row r="82" spans="1:28" s="63" customFormat="1" x14ac:dyDescent="0.3">
      <c r="A82" s="66" t="s">
        <v>481</v>
      </c>
      <c r="B82" s="67">
        <v>57.87</v>
      </c>
      <c r="C82" s="67">
        <v>11.1</v>
      </c>
      <c r="D82" s="67">
        <v>11.1</v>
      </c>
      <c r="E82" s="43">
        <v>10.27</v>
      </c>
      <c r="F82" s="43">
        <v>4.8899999999999997</v>
      </c>
      <c r="G82" s="43">
        <v>122.3</v>
      </c>
      <c r="H82" s="43">
        <v>21</v>
      </c>
      <c r="I82" s="43">
        <v>52.1</v>
      </c>
      <c r="J82" s="44">
        <v>1.3080000000000001</v>
      </c>
      <c r="T82" s="66"/>
      <c r="U82" s="67"/>
      <c r="V82" s="67"/>
      <c r="W82" s="67"/>
      <c r="X82" s="67"/>
      <c r="Y82" s="40"/>
      <c r="Z82" s="40"/>
      <c r="AA82" s="40"/>
      <c r="AB82" s="68"/>
    </row>
    <row r="83" spans="1:28" s="63" customFormat="1" x14ac:dyDescent="0.3">
      <c r="A83" s="66" t="s">
        <v>482</v>
      </c>
      <c r="B83" s="67">
        <v>37.44</v>
      </c>
      <c r="C83" s="67">
        <v>8.41</v>
      </c>
      <c r="D83" s="67">
        <v>8.41</v>
      </c>
      <c r="E83" s="43">
        <v>9.19</v>
      </c>
      <c r="F83" s="43">
        <v>4.37</v>
      </c>
      <c r="G83" s="43">
        <v>122.3</v>
      </c>
      <c r="H83" s="43">
        <v>21</v>
      </c>
      <c r="I83" s="43">
        <v>44.5</v>
      </c>
      <c r="J83" s="44">
        <v>1.1819999999999999</v>
      </c>
      <c r="T83" s="66"/>
      <c r="U83" s="67"/>
      <c r="V83" s="67"/>
      <c r="W83" s="67"/>
      <c r="X83" s="67"/>
      <c r="Y83" s="40"/>
      <c r="Z83" s="40"/>
      <c r="AA83" s="40"/>
      <c r="AB83" s="68"/>
    </row>
    <row r="84" spans="1:28" s="63" customFormat="1" x14ac:dyDescent="0.3">
      <c r="A84" s="66" t="s">
        <v>664</v>
      </c>
      <c r="B84" s="67">
        <v>179</v>
      </c>
      <c r="C84" s="67">
        <v>19.018999999999998</v>
      </c>
      <c r="D84" s="67">
        <v>19.018999999999998</v>
      </c>
      <c r="E84" s="67">
        <v>18.346</v>
      </c>
      <c r="F84" s="67">
        <v>3.9729999999999999</v>
      </c>
      <c r="G84" s="67">
        <v>134.80000000000001</v>
      </c>
      <c r="H84" s="67">
        <v>46.15</v>
      </c>
      <c r="I84" s="67">
        <v>94.12</v>
      </c>
      <c r="J84" s="68">
        <v>2.88</v>
      </c>
      <c r="T84" s="66"/>
      <c r="U84" s="67"/>
      <c r="V84" s="67"/>
      <c r="W84" s="67"/>
      <c r="X84" s="67"/>
      <c r="Y84" s="40"/>
      <c r="Z84" s="40"/>
      <c r="AA84" s="40"/>
      <c r="AB84" s="68"/>
    </row>
    <row r="85" spans="1:28" s="63" customFormat="1" x14ac:dyDescent="0.3">
      <c r="A85" s="66" t="s">
        <v>665</v>
      </c>
      <c r="B85" s="67">
        <v>186.46700000000001</v>
      </c>
      <c r="C85" s="67">
        <v>19.381</v>
      </c>
      <c r="D85" s="67">
        <v>19.381</v>
      </c>
      <c r="E85" s="67">
        <v>46.28</v>
      </c>
      <c r="F85" s="67">
        <v>7.3280000000000003</v>
      </c>
      <c r="G85" s="67">
        <v>134.80000000000001</v>
      </c>
      <c r="H85" s="67">
        <v>63.16</v>
      </c>
      <c r="I85" s="67">
        <v>96.21</v>
      </c>
      <c r="J85" s="68">
        <v>3.1179999999999999</v>
      </c>
      <c r="T85" s="66"/>
      <c r="U85" s="67"/>
      <c r="V85" s="67"/>
      <c r="W85" s="67"/>
      <c r="X85" s="67"/>
      <c r="Y85" s="40"/>
      <c r="Z85" s="40"/>
      <c r="AA85" s="40"/>
      <c r="AB85" s="68"/>
    </row>
    <row r="86" spans="1:28" s="63" customFormat="1" x14ac:dyDescent="0.3">
      <c r="A86" s="66" t="s">
        <v>666</v>
      </c>
      <c r="B86" s="67">
        <v>59.072000000000003</v>
      </c>
      <c r="C86" s="67">
        <v>9.0440000000000005</v>
      </c>
      <c r="D86" s="67">
        <v>9.0440000000000005</v>
      </c>
      <c r="E86" s="67">
        <v>17.952999999999999</v>
      </c>
      <c r="F86" s="67">
        <v>3.8879999999999999</v>
      </c>
      <c r="G86" s="67">
        <v>134.80000000000001</v>
      </c>
      <c r="H86" s="67">
        <v>46.16</v>
      </c>
      <c r="I86" s="67">
        <v>65.319999999999993</v>
      </c>
      <c r="J86" s="68">
        <v>2.2410000000000001</v>
      </c>
      <c r="T86" s="66"/>
      <c r="U86" s="67"/>
      <c r="V86" s="67"/>
      <c r="W86" s="67"/>
      <c r="X86" s="67"/>
      <c r="Y86" s="40"/>
      <c r="Z86" s="40"/>
      <c r="AA86" s="40"/>
      <c r="AB86" s="68"/>
    </row>
    <row r="87" spans="1:28" s="63" customFormat="1" x14ac:dyDescent="0.3">
      <c r="A87" s="66" t="s">
        <v>666</v>
      </c>
      <c r="B87" s="67">
        <v>62.847000000000001</v>
      </c>
      <c r="C87" s="67">
        <v>9.4789999999999992</v>
      </c>
      <c r="D87" s="67">
        <v>9.4789999999999992</v>
      </c>
      <c r="E87" s="67">
        <v>45.887</v>
      </c>
      <c r="F87" s="67">
        <v>7.266</v>
      </c>
      <c r="G87" s="67">
        <v>134.80000000000001</v>
      </c>
      <c r="H87" s="67">
        <v>63.16</v>
      </c>
      <c r="I87" s="67">
        <v>66.3</v>
      </c>
      <c r="J87" s="68">
        <v>2.48</v>
      </c>
      <c r="T87" s="66"/>
      <c r="U87" s="67"/>
      <c r="V87" s="67"/>
      <c r="W87" s="67"/>
      <c r="X87" s="67"/>
      <c r="Y87" s="40"/>
      <c r="Z87" s="40"/>
      <c r="AA87" s="40"/>
      <c r="AB87" s="68"/>
    </row>
    <row r="88" spans="1:28" s="63" customFormat="1" x14ac:dyDescent="0.3">
      <c r="A88" s="66" t="s">
        <v>667</v>
      </c>
      <c r="B88" s="67">
        <v>291.279</v>
      </c>
      <c r="C88" s="67">
        <v>26.114999999999998</v>
      </c>
      <c r="D88" s="67">
        <v>26.114999999999998</v>
      </c>
      <c r="E88" s="67">
        <v>66.427999999999997</v>
      </c>
      <c r="F88" s="67">
        <v>9.2159999999999993</v>
      </c>
      <c r="G88" s="67">
        <v>134.80000000000001</v>
      </c>
      <c r="H88" s="67">
        <v>72.08</v>
      </c>
      <c r="I88" s="67">
        <v>111.54</v>
      </c>
      <c r="J88" s="68">
        <v>3.69</v>
      </c>
      <c r="T88" s="66"/>
      <c r="U88" s="67"/>
      <c r="V88" s="67"/>
      <c r="W88" s="67"/>
      <c r="X88" s="67"/>
      <c r="Y88" s="40"/>
      <c r="Z88" s="40"/>
      <c r="AA88" s="40"/>
      <c r="AB88" s="68"/>
    </row>
    <row r="89" spans="1:28" s="63" customFormat="1" x14ac:dyDescent="0.3">
      <c r="A89" s="66" t="s">
        <v>668</v>
      </c>
      <c r="B89" s="67">
        <v>297.68299999999999</v>
      </c>
      <c r="C89" s="67">
        <v>26.399000000000001</v>
      </c>
      <c r="D89" s="67">
        <v>26.399000000000001</v>
      </c>
      <c r="E89" s="67">
        <v>70.27</v>
      </c>
      <c r="F89" s="67">
        <v>9.4849999999999994</v>
      </c>
      <c r="G89" s="67">
        <v>134.80000000000001</v>
      </c>
      <c r="H89" s="67">
        <v>72.09</v>
      </c>
      <c r="I89" s="67">
        <v>112.77</v>
      </c>
      <c r="J89" s="68">
        <v>3.69</v>
      </c>
      <c r="T89" s="66"/>
      <c r="U89" s="67"/>
      <c r="V89" s="67"/>
      <c r="W89" s="67"/>
      <c r="X89" s="67"/>
      <c r="Y89" s="40"/>
      <c r="Z89" s="40"/>
      <c r="AA89" s="40"/>
      <c r="AB89" s="68"/>
    </row>
    <row r="90" spans="1:28" s="63" customFormat="1" x14ac:dyDescent="0.3">
      <c r="A90" s="66" t="s">
        <v>669</v>
      </c>
      <c r="B90" s="67">
        <v>304.79000000000002</v>
      </c>
      <c r="C90" s="67">
        <v>26.728999999999999</v>
      </c>
      <c r="D90" s="67">
        <v>26.728999999999999</v>
      </c>
      <c r="E90" s="67">
        <v>73.441999999999993</v>
      </c>
      <c r="F90" s="67">
        <v>9.7230000000000008</v>
      </c>
      <c r="G90" s="67">
        <v>134.80000000000001</v>
      </c>
      <c r="H90" s="67">
        <v>75.53</v>
      </c>
      <c r="I90" s="67">
        <v>114.03</v>
      </c>
      <c r="J90" s="68">
        <v>3.69</v>
      </c>
      <c r="S90" s="2"/>
      <c r="T90" s="66"/>
      <c r="U90" s="67"/>
      <c r="V90" s="67"/>
      <c r="W90" s="67"/>
      <c r="X90" s="67"/>
      <c r="Y90" s="40"/>
      <c r="Z90" s="40"/>
      <c r="AA90" s="40"/>
      <c r="AB90" s="68"/>
    </row>
    <row r="91" spans="1:28" x14ac:dyDescent="0.3">
      <c r="A91" s="66" t="s">
        <v>670</v>
      </c>
      <c r="B91" s="67">
        <v>312.59199999999998</v>
      </c>
      <c r="C91" s="67">
        <v>27.105</v>
      </c>
      <c r="D91" s="67">
        <v>27.105</v>
      </c>
      <c r="E91" s="67">
        <v>75.849000000000004</v>
      </c>
      <c r="F91" s="67">
        <v>9.9269999999999996</v>
      </c>
      <c r="G91" s="67">
        <v>134.80000000000001</v>
      </c>
      <c r="H91" s="67">
        <v>76.400000000000006</v>
      </c>
      <c r="I91" s="67">
        <v>115.33</v>
      </c>
      <c r="J91" s="68">
        <v>3.69</v>
      </c>
      <c r="L91" s="63"/>
      <c r="M91" s="63"/>
      <c r="N91" s="63"/>
      <c r="O91" s="63"/>
      <c r="P91" s="63"/>
      <c r="Q91" s="63"/>
      <c r="R91" s="63"/>
      <c r="T91" s="66"/>
      <c r="U91" s="67"/>
      <c r="V91" s="67"/>
      <c r="W91" s="67"/>
      <c r="X91" s="67"/>
      <c r="Y91" s="40"/>
      <c r="Z91" s="40"/>
      <c r="AA91" s="40"/>
      <c r="AB91" s="68"/>
    </row>
    <row r="92" spans="1:28" x14ac:dyDescent="0.3">
      <c r="A92" s="66" t="s">
        <v>671</v>
      </c>
      <c r="B92" s="67">
        <v>321.06599999999997</v>
      </c>
      <c r="C92" s="67">
        <v>27.524999999999999</v>
      </c>
      <c r="D92" s="67">
        <v>27.524999999999999</v>
      </c>
      <c r="E92" s="67">
        <v>77.417000000000002</v>
      </c>
      <c r="F92" s="67">
        <v>10.093999999999999</v>
      </c>
      <c r="G92" s="67">
        <v>134.80000000000001</v>
      </c>
      <c r="H92" s="67">
        <v>76.7</v>
      </c>
      <c r="I92" s="67">
        <v>116.64</v>
      </c>
      <c r="J92" s="68">
        <v>3.69</v>
      </c>
      <c r="L92" s="63"/>
      <c r="M92" s="63"/>
      <c r="N92" s="63"/>
      <c r="O92" s="63"/>
      <c r="P92" s="63"/>
      <c r="Q92" s="63"/>
      <c r="R92" s="63"/>
      <c r="T92" s="66"/>
      <c r="U92" s="67"/>
      <c r="V92" s="67"/>
      <c r="W92" s="67"/>
      <c r="X92" s="67"/>
      <c r="Y92" s="40"/>
      <c r="Z92" s="40"/>
      <c r="AA92" s="40"/>
      <c r="AB92" s="68"/>
    </row>
    <row r="93" spans="1:28" x14ac:dyDescent="0.3">
      <c r="A93" s="66" t="s">
        <v>672</v>
      </c>
      <c r="B93" s="67">
        <v>330.17200000000003</v>
      </c>
      <c r="C93" s="67">
        <v>27.988</v>
      </c>
      <c r="D93" s="67">
        <v>27.988</v>
      </c>
      <c r="E93" s="67">
        <v>78.097999999999999</v>
      </c>
      <c r="F93" s="67">
        <v>10.221</v>
      </c>
      <c r="G93" s="67">
        <v>134.80000000000001</v>
      </c>
      <c r="H93" s="67">
        <v>76.41</v>
      </c>
      <c r="I93" s="67">
        <v>117.97</v>
      </c>
      <c r="J93" s="68">
        <v>3.69</v>
      </c>
      <c r="L93" s="63"/>
      <c r="M93" s="63"/>
      <c r="N93" s="63"/>
      <c r="O93" s="63"/>
      <c r="P93" s="63"/>
      <c r="Q93" s="63"/>
      <c r="R93" s="63"/>
      <c r="T93" s="66"/>
      <c r="U93" s="67"/>
      <c r="V93" s="67"/>
      <c r="W93" s="67"/>
      <c r="X93" s="67"/>
      <c r="Y93" s="40"/>
      <c r="Z93" s="40"/>
      <c r="AA93" s="40"/>
      <c r="AB93" s="68"/>
    </row>
    <row r="94" spans="1:28" x14ac:dyDescent="0.3">
      <c r="A94" s="66" t="s">
        <v>673</v>
      </c>
      <c r="B94" s="67">
        <v>339.851</v>
      </c>
      <c r="C94" s="67">
        <v>28.488</v>
      </c>
      <c r="D94" s="67">
        <v>28.488</v>
      </c>
      <c r="E94" s="67">
        <v>77.872</v>
      </c>
      <c r="F94" s="67">
        <v>10.308999999999999</v>
      </c>
      <c r="G94" s="67">
        <v>134.80000000000001</v>
      </c>
      <c r="H94" s="67">
        <v>75.540000000000006</v>
      </c>
      <c r="I94" s="67">
        <v>119.3</v>
      </c>
      <c r="J94" s="68">
        <v>3.69</v>
      </c>
      <c r="L94" s="63"/>
      <c r="M94" s="63"/>
      <c r="N94" s="63"/>
      <c r="O94" s="63"/>
      <c r="P94" s="63"/>
      <c r="Q94" s="63"/>
      <c r="R94" s="63"/>
      <c r="T94" s="66"/>
      <c r="U94" s="67"/>
      <c r="V94" s="67"/>
      <c r="W94" s="67"/>
      <c r="X94" s="67"/>
      <c r="Y94" s="40"/>
      <c r="Z94" s="40"/>
      <c r="AA94" s="40"/>
      <c r="AB94" s="68"/>
    </row>
    <row r="95" spans="1:28" x14ac:dyDescent="0.3">
      <c r="A95" s="66" t="s">
        <v>674</v>
      </c>
      <c r="B95" s="67">
        <v>350.029</v>
      </c>
      <c r="C95" s="67">
        <v>29.02</v>
      </c>
      <c r="D95" s="67">
        <v>29.02</v>
      </c>
      <c r="E95" s="67">
        <v>76.745000000000005</v>
      </c>
      <c r="F95" s="67">
        <v>10.356999999999999</v>
      </c>
      <c r="G95" s="67">
        <v>134.80000000000001</v>
      </c>
      <c r="H95" s="67">
        <v>74.099999999999994</v>
      </c>
      <c r="I95" s="67">
        <v>120.62</v>
      </c>
      <c r="J95" s="68">
        <v>3.69</v>
      </c>
      <c r="L95" s="63"/>
      <c r="M95" s="63"/>
      <c r="N95" s="63"/>
      <c r="O95" s="63"/>
      <c r="P95" s="63"/>
      <c r="Q95" s="63"/>
      <c r="R95" s="63"/>
      <c r="T95" s="66"/>
      <c r="U95" s="67"/>
      <c r="V95" s="67"/>
      <c r="W95" s="67"/>
      <c r="X95" s="67"/>
      <c r="Y95" s="40"/>
      <c r="Z95" s="40"/>
      <c r="AA95" s="40"/>
      <c r="AB95" s="68"/>
    </row>
    <row r="96" spans="1:28" x14ac:dyDescent="0.3">
      <c r="A96" s="66" t="s">
        <v>675</v>
      </c>
      <c r="B96" s="67">
        <v>86.11</v>
      </c>
      <c r="C96" s="67">
        <v>11.94</v>
      </c>
      <c r="D96" s="67">
        <v>11.94</v>
      </c>
      <c r="E96" s="67">
        <v>65.965999999999994</v>
      </c>
      <c r="F96" s="67">
        <v>9.15</v>
      </c>
      <c r="G96" s="67">
        <v>134.80000000000001</v>
      </c>
      <c r="H96" s="67">
        <v>72.099999999999994</v>
      </c>
      <c r="I96" s="67">
        <v>72.12</v>
      </c>
      <c r="J96" s="68">
        <v>2.9350000000000001</v>
      </c>
      <c r="L96" s="63"/>
      <c r="M96" s="63"/>
      <c r="N96" s="63"/>
      <c r="O96" s="63"/>
      <c r="P96" s="63"/>
      <c r="Q96" s="63"/>
      <c r="R96" s="63"/>
      <c r="T96" s="66"/>
      <c r="U96" s="67"/>
      <c r="V96" s="67"/>
      <c r="W96" s="67"/>
      <c r="X96" s="67"/>
      <c r="Y96" s="40"/>
      <c r="Z96" s="40"/>
      <c r="AA96" s="40"/>
      <c r="AB96" s="68"/>
    </row>
    <row r="97" spans="1:31" x14ac:dyDescent="0.3">
      <c r="A97" s="66" t="s">
        <v>676</v>
      </c>
      <c r="B97" s="67">
        <v>87.91</v>
      </c>
      <c r="C97" s="67">
        <v>11.935</v>
      </c>
      <c r="D97" s="67">
        <v>11.935</v>
      </c>
      <c r="E97" s="67">
        <v>69.808000000000007</v>
      </c>
      <c r="F97" s="67">
        <v>9.4209999999999994</v>
      </c>
      <c r="G97" s="67">
        <v>134.80000000000001</v>
      </c>
      <c r="H97" s="67">
        <v>74.099999999999994</v>
      </c>
      <c r="I97" s="67">
        <v>73.66</v>
      </c>
      <c r="J97" s="68">
        <v>2.9350000000000001</v>
      </c>
      <c r="L97" s="63"/>
      <c r="M97" s="63"/>
      <c r="N97" s="63"/>
      <c r="O97" s="63"/>
      <c r="P97" s="63"/>
      <c r="Q97" s="63"/>
      <c r="R97" s="63"/>
      <c r="T97" s="66"/>
      <c r="U97" s="67"/>
      <c r="V97" s="67"/>
      <c r="W97" s="67"/>
      <c r="X97" s="67"/>
      <c r="Y97" s="40"/>
      <c r="Z97" s="40"/>
      <c r="AA97" s="40"/>
      <c r="AB97" s="68"/>
    </row>
    <row r="98" spans="1:31" x14ac:dyDescent="0.3">
      <c r="A98" s="66" t="s">
        <v>677</v>
      </c>
      <c r="B98" s="67">
        <v>90.183999999999997</v>
      </c>
      <c r="C98" s="67">
        <v>11.984</v>
      </c>
      <c r="D98" s="67">
        <v>11.984</v>
      </c>
      <c r="E98" s="67">
        <v>72.980999999999995</v>
      </c>
      <c r="F98" s="67">
        <v>9.66</v>
      </c>
      <c r="G98" s="67">
        <v>134.80000000000001</v>
      </c>
      <c r="H98" s="67">
        <v>75.55</v>
      </c>
      <c r="I98" s="67">
        <v>75.25</v>
      </c>
      <c r="J98" s="68">
        <v>2.9350000000000001</v>
      </c>
      <c r="L98" s="63"/>
      <c r="M98" s="63"/>
      <c r="N98" s="63"/>
      <c r="O98" s="63"/>
      <c r="P98" s="63"/>
      <c r="Q98" s="63"/>
      <c r="R98" s="63"/>
      <c r="T98" s="66"/>
      <c r="U98" s="67"/>
      <c r="V98" s="67"/>
      <c r="W98" s="67"/>
      <c r="X98" s="67"/>
      <c r="Y98" s="40"/>
      <c r="Z98" s="40"/>
      <c r="AA98" s="40"/>
      <c r="AB98" s="68"/>
    </row>
    <row r="99" spans="1:31" x14ac:dyDescent="0.3">
      <c r="A99" s="66" t="s">
        <v>678</v>
      </c>
      <c r="B99" s="67">
        <v>92.956999999999994</v>
      </c>
      <c r="C99" s="67">
        <v>12.090999999999999</v>
      </c>
      <c r="D99" s="67">
        <v>12.090999999999999</v>
      </c>
      <c r="E99" s="67">
        <v>75.387</v>
      </c>
      <c r="F99" s="67">
        <v>9.8650000000000002</v>
      </c>
      <c r="G99" s="67">
        <v>134.80000000000001</v>
      </c>
      <c r="H99" s="67">
        <v>76.42</v>
      </c>
      <c r="I99" s="67">
        <v>76.88</v>
      </c>
      <c r="J99" s="68">
        <v>2.9350000000000001</v>
      </c>
      <c r="L99" s="63"/>
      <c r="M99" s="63"/>
      <c r="N99" s="63"/>
      <c r="O99" s="63"/>
      <c r="P99" s="63"/>
      <c r="Q99" s="63"/>
      <c r="R99" s="63"/>
      <c r="T99" s="66"/>
      <c r="U99" s="67"/>
      <c r="V99" s="67"/>
      <c r="W99" s="67"/>
      <c r="X99" s="67"/>
      <c r="Y99" s="40"/>
      <c r="Z99" s="40"/>
      <c r="AA99" s="40"/>
      <c r="AB99" s="68"/>
    </row>
    <row r="100" spans="1:31" x14ac:dyDescent="0.3">
      <c r="A100" s="66" t="s">
        <v>679</v>
      </c>
      <c r="B100" s="67">
        <v>96.238</v>
      </c>
      <c r="C100" s="67">
        <v>12.254</v>
      </c>
      <c r="D100" s="67">
        <v>12.254</v>
      </c>
      <c r="E100" s="67">
        <v>76.954999999999998</v>
      </c>
      <c r="F100" s="67">
        <v>10.032</v>
      </c>
      <c r="G100" s="67">
        <v>134.80000000000001</v>
      </c>
      <c r="H100" s="67">
        <v>76.7</v>
      </c>
      <c r="I100" s="67">
        <v>78.540000000000006</v>
      </c>
      <c r="J100" s="68">
        <v>2.9350000000000001</v>
      </c>
      <c r="L100" s="63"/>
      <c r="M100" s="63"/>
      <c r="N100" s="63"/>
      <c r="O100" s="63"/>
      <c r="P100" s="63"/>
      <c r="Q100" s="63"/>
      <c r="R100" s="63"/>
      <c r="T100" s="66"/>
      <c r="U100" s="67"/>
      <c r="V100" s="67"/>
      <c r="W100" s="67"/>
      <c r="X100" s="67"/>
      <c r="Y100" s="40"/>
      <c r="Z100" s="40"/>
      <c r="AA100" s="40"/>
      <c r="AB100" s="68"/>
    </row>
    <row r="101" spans="1:31" x14ac:dyDescent="0.3">
      <c r="A101" s="66" t="s">
        <v>680</v>
      </c>
      <c r="B101" s="67">
        <v>100.024</v>
      </c>
      <c r="C101" s="67">
        <v>12.471</v>
      </c>
      <c r="D101" s="67">
        <v>12.471</v>
      </c>
      <c r="E101" s="67">
        <v>77.635999999999996</v>
      </c>
      <c r="F101" s="67">
        <v>10.157999999999999</v>
      </c>
      <c r="G101" s="67">
        <v>134.80000000000001</v>
      </c>
      <c r="H101" s="67">
        <v>76.400000000000006</v>
      </c>
      <c r="I101" s="67">
        <v>80.2</v>
      </c>
      <c r="J101" s="68">
        <v>2.9350000000000001</v>
      </c>
      <c r="L101" s="63"/>
      <c r="M101" s="63"/>
      <c r="N101" s="63"/>
      <c r="O101" s="63"/>
      <c r="P101" s="63"/>
      <c r="Q101" s="63"/>
      <c r="R101" s="63"/>
      <c r="T101" s="66"/>
      <c r="U101" s="67"/>
      <c r="V101" s="67"/>
      <c r="W101" s="67"/>
      <c r="X101" s="67"/>
      <c r="Y101" s="40"/>
      <c r="Z101" s="40"/>
      <c r="AA101" s="40"/>
      <c r="AB101" s="68"/>
    </row>
    <row r="102" spans="1:31" x14ac:dyDescent="0.3">
      <c r="A102" s="66" t="s">
        <v>681</v>
      </c>
      <c r="B102" s="67">
        <v>104.29600000000001</v>
      </c>
      <c r="C102" s="67">
        <v>12.739000000000001</v>
      </c>
      <c r="D102" s="67">
        <v>12.739000000000001</v>
      </c>
      <c r="E102" s="67">
        <v>77.41</v>
      </c>
      <c r="F102" s="67">
        <v>10.244999999999999</v>
      </c>
      <c r="G102" s="67">
        <v>134.80000000000001</v>
      </c>
      <c r="H102" s="67">
        <v>75.5</v>
      </c>
      <c r="I102" s="67">
        <v>81.87</v>
      </c>
      <c r="J102" s="68">
        <v>2.9350000000000001</v>
      </c>
      <c r="T102" s="66"/>
      <c r="U102" s="67"/>
      <c r="V102" s="67"/>
      <c r="W102" s="67"/>
      <c r="X102" s="67"/>
      <c r="Y102" s="40"/>
      <c r="Z102" s="40"/>
      <c r="AA102" s="40"/>
      <c r="AB102" s="68"/>
    </row>
    <row r="103" spans="1:31" x14ac:dyDescent="0.3">
      <c r="A103" s="66" t="s">
        <v>682</v>
      </c>
      <c r="B103" s="67">
        <v>109.021</v>
      </c>
      <c r="C103" s="67">
        <v>13.052</v>
      </c>
      <c r="D103" s="67">
        <v>13.052</v>
      </c>
      <c r="E103" s="67">
        <v>76.284000000000006</v>
      </c>
      <c r="F103" s="67">
        <v>10.292</v>
      </c>
      <c r="G103" s="67">
        <v>134.80000000000001</v>
      </c>
      <c r="H103" s="67">
        <v>74.099999999999994</v>
      </c>
      <c r="I103" s="67">
        <v>83.5</v>
      </c>
      <c r="J103" s="68">
        <v>2.9350000000000001</v>
      </c>
      <c r="S103" s="63"/>
      <c r="T103" s="66"/>
      <c r="U103" s="67"/>
      <c r="V103" s="67"/>
      <c r="W103" s="67"/>
      <c r="X103" s="67"/>
      <c r="Y103" s="40"/>
      <c r="Z103" s="40"/>
      <c r="AA103" s="40"/>
      <c r="AB103" s="68"/>
    </row>
    <row r="104" spans="1:31" s="63" customFormat="1" x14ac:dyDescent="0.3">
      <c r="A104" s="66" t="s">
        <v>648</v>
      </c>
      <c r="B104" s="67">
        <v>286.04599999999999</v>
      </c>
      <c r="C104" s="67">
        <v>25.757999999999999</v>
      </c>
      <c r="D104" s="67">
        <v>25.757999999999999</v>
      </c>
      <c r="E104" s="67">
        <v>37.158999999999999</v>
      </c>
      <c r="F104" s="67">
        <v>6.35</v>
      </c>
      <c r="G104" s="67">
        <v>134.80000000000001</v>
      </c>
      <c r="H104" s="67">
        <v>58.52</v>
      </c>
      <c r="I104" s="67">
        <v>111.05</v>
      </c>
      <c r="J104" s="68">
        <v>3.3919999999999999</v>
      </c>
      <c r="L104" s="2"/>
      <c r="M104" s="2"/>
      <c r="N104" s="2"/>
      <c r="O104" s="2"/>
      <c r="P104" s="2"/>
      <c r="Q104" s="2"/>
      <c r="R104" s="2"/>
      <c r="T104" s="66"/>
      <c r="U104" s="67"/>
      <c r="V104" s="67"/>
      <c r="W104" s="67"/>
      <c r="X104" s="67"/>
      <c r="Y104" s="40"/>
      <c r="Z104" s="40"/>
      <c r="AA104" s="40"/>
      <c r="AB104" s="68"/>
    </row>
    <row r="105" spans="1:31" s="63" customFormat="1" x14ac:dyDescent="0.3">
      <c r="A105" s="66" t="s">
        <v>649</v>
      </c>
      <c r="B105" s="67">
        <v>290.495</v>
      </c>
      <c r="C105" s="67">
        <v>26</v>
      </c>
      <c r="D105" s="67">
        <v>26</v>
      </c>
      <c r="E105" s="67">
        <v>38.234999999999999</v>
      </c>
      <c r="F105" s="67">
        <v>6.4169999999999998</v>
      </c>
      <c r="G105" s="67">
        <v>134.80000000000001</v>
      </c>
      <c r="H105" s="67">
        <v>59.58</v>
      </c>
      <c r="I105" s="67">
        <v>111.72</v>
      </c>
      <c r="J105" s="68">
        <v>3.3919999999999999</v>
      </c>
      <c r="L105" s="2"/>
      <c r="M105" s="2"/>
      <c r="N105" s="2"/>
      <c r="O105" s="2"/>
      <c r="P105" s="2"/>
      <c r="Q105" s="2"/>
      <c r="R105" s="2"/>
      <c r="T105" s="66"/>
      <c r="U105" s="67"/>
      <c r="V105" s="67"/>
      <c r="W105" s="67"/>
      <c r="X105" s="67"/>
      <c r="Y105" s="40"/>
      <c r="Z105" s="40"/>
      <c r="AA105" s="40"/>
      <c r="AB105" s="68"/>
    </row>
    <row r="106" spans="1:31" s="63" customFormat="1" x14ac:dyDescent="0.3">
      <c r="A106" s="66" t="s">
        <v>650</v>
      </c>
      <c r="B106" s="67">
        <v>298.24299999999999</v>
      </c>
      <c r="C106" s="67">
        <v>26.425000000000001</v>
      </c>
      <c r="D106" s="67">
        <v>26.425000000000001</v>
      </c>
      <c r="E106" s="67">
        <v>38.957999999999998</v>
      </c>
      <c r="F106" s="67">
        <v>6.4720000000000004</v>
      </c>
      <c r="G106" s="67">
        <v>134.80000000000001</v>
      </c>
      <c r="H106" s="67">
        <v>60.2</v>
      </c>
      <c r="I106" s="67">
        <v>112.87</v>
      </c>
      <c r="J106" s="68">
        <v>3.3919999999999999</v>
      </c>
      <c r="L106" s="2"/>
      <c r="M106" s="2"/>
      <c r="N106" s="2"/>
      <c r="O106" s="2"/>
      <c r="P106" s="2"/>
      <c r="Q106" s="2"/>
      <c r="R106" s="2"/>
      <c r="T106" s="66"/>
      <c r="U106" s="67"/>
      <c r="V106" s="67"/>
      <c r="W106" s="67"/>
      <c r="X106" s="67"/>
      <c r="Y106" s="40"/>
      <c r="Z106" s="40"/>
      <c r="AA106" s="40"/>
      <c r="AB106" s="68"/>
    </row>
    <row r="107" spans="1:31" s="63" customFormat="1" x14ac:dyDescent="0.3">
      <c r="A107" s="66" t="s">
        <v>651</v>
      </c>
      <c r="B107" s="67">
        <v>304.85500000000002</v>
      </c>
      <c r="C107" s="67">
        <v>26.789000000000001</v>
      </c>
      <c r="D107" s="67">
        <v>26.789000000000001</v>
      </c>
      <c r="E107" s="67">
        <v>39.307000000000002</v>
      </c>
      <c r="F107" s="67">
        <v>6.5119999999999996</v>
      </c>
      <c r="G107" s="67">
        <v>134.80000000000001</v>
      </c>
      <c r="H107" s="67">
        <v>60.36</v>
      </c>
      <c r="I107" s="67">
        <v>113.8</v>
      </c>
      <c r="J107" s="68">
        <v>3.3919999999999999</v>
      </c>
      <c r="L107" s="2"/>
      <c r="M107" s="2"/>
      <c r="N107" s="2"/>
      <c r="O107" s="2"/>
      <c r="P107" s="2"/>
      <c r="Q107" s="2"/>
      <c r="R107" s="2"/>
      <c r="T107" s="66"/>
      <c r="U107" s="67"/>
      <c r="V107" s="67"/>
      <c r="W107" s="67"/>
      <c r="X107" s="67"/>
      <c r="Y107" s="40"/>
      <c r="Z107" s="40"/>
      <c r="AA107" s="40"/>
      <c r="AB107" s="68"/>
    </row>
    <row r="108" spans="1:31" s="63" customFormat="1" x14ac:dyDescent="0.3">
      <c r="A108" s="66" t="s">
        <v>652</v>
      </c>
      <c r="B108" s="67">
        <v>311.74900000000002</v>
      </c>
      <c r="C108" s="67">
        <v>27.170999999999999</v>
      </c>
      <c r="D108" s="67">
        <v>27.170999999999999</v>
      </c>
      <c r="E108" s="67">
        <v>39.270000000000003</v>
      </c>
      <c r="F108" s="67">
        <v>6.5380000000000003</v>
      </c>
      <c r="G108" s="67">
        <v>134.80000000000001</v>
      </c>
      <c r="H108" s="67">
        <v>60</v>
      </c>
      <c r="I108" s="67">
        <v>114.73</v>
      </c>
      <c r="J108" s="68">
        <v>3.3919999999999999</v>
      </c>
      <c r="L108" s="2"/>
      <c r="M108" s="2"/>
      <c r="N108" s="2"/>
      <c r="O108" s="2"/>
      <c r="P108" s="2"/>
      <c r="Q108" s="2"/>
      <c r="R108" s="2"/>
      <c r="T108" s="66"/>
      <c r="U108" s="67"/>
      <c r="V108" s="67"/>
      <c r="W108" s="67"/>
      <c r="X108" s="67"/>
      <c r="Y108" s="40"/>
      <c r="Z108" s="40"/>
      <c r="AA108" s="40"/>
      <c r="AB108" s="68"/>
    </row>
    <row r="109" spans="1:31" s="63" customFormat="1" x14ac:dyDescent="0.3">
      <c r="A109" s="66" t="s">
        <v>653</v>
      </c>
      <c r="B109" s="67">
        <v>318.87</v>
      </c>
      <c r="C109" s="67">
        <v>27.567</v>
      </c>
      <c r="D109" s="67">
        <v>27.567</v>
      </c>
      <c r="E109" s="67">
        <v>38.848999999999997</v>
      </c>
      <c r="F109" s="67">
        <v>6.55</v>
      </c>
      <c r="G109" s="67">
        <v>134.80000000000001</v>
      </c>
      <c r="H109" s="67">
        <v>59.32</v>
      </c>
      <c r="I109" s="67">
        <v>115.67</v>
      </c>
      <c r="J109" s="68">
        <v>3.3919999999999999</v>
      </c>
      <c r="T109" s="66"/>
      <c r="U109" s="67"/>
      <c r="V109" s="67"/>
      <c r="W109" s="67"/>
      <c r="X109" s="67"/>
      <c r="Y109" s="40"/>
      <c r="Z109" s="40"/>
      <c r="AA109" s="40"/>
      <c r="AB109" s="68"/>
    </row>
    <row r="110" spans="1:31" s="63" customFormat="1" x14ac:dyDescent="0.3">
      <c r="A110" s="66" t="s">
        <v>654</v>
      </c>
      <c r="B110" s="67">
        <v>326.15600000000001</v>
      </c>
      <c r="C110" s="67">
        <v>27.972000000000001</v>
      </c>
      <c r="D110" s="67">
        <v>27.972000000000001</v>
      </c>
      <c r="E110" s="67">
        <v>38.057000000000002</v>
      </c>
      <c r="F110" s="67">
        <v>6.548</v>
      </c>
      <c r="G110" s="67">
        <v>134.80000000000001</v>
      </c>
      <c r="H110" s="67">
        <v>58.12</v>
      </c>
      <c r="I110" s="67">
        <v>116.6</v>
      </c>
      <c r="J110" s="68">
        <v>3.3919999999999999</v>
      </c>
    </row>
    <row r="111" spans="1:31" s="63" customFormat="1" x14ac:dyDescent="0.3">
      <c r="A111" s="66" t="s">
        <v>655</v>
      </c>
      <c r="B111" s="67">
        <v>333.53899999999999</v>
      </c>
      <c r="C111" s="67">
        <v>28.382000000000001</v>
      </c>
      <c r="D111" s="67">
        <v>28.382000000000001</v>
      </c>
      <c r="E111" s="67">
        <v>36.917999999999999</v>
      </c>
      <c r="F111" s="67">
        <v>6.5359999999999996</v>
      </c>
      <c r="G111" s="67">
        <v>134.80000000000001</v>
      </c>
      <c r="H111" s="67">
        <v>56.49</v>
      </c>
      <c r="I111" s="67">
        <v>117.52</v>
      </c>
      <c r="J111" s="68">
        <v>3.3919999999999999</v>
      </c>
    </row>
    <row r="112" spans="1:31" x14ac:dyDescent="0.3">
      <c r="A112" s="66" t="s">
        <v>656</v>
      </c>
      <c r="B112" s="67">
        <v>81.363</v>
      </c>
      <c r="C112" s="67">
        <v>11.04</v>
      </c>
      <c r="D112" s="67">
        <v>11.04</v>
      </c>
      <c r="E112" s="67">
        <v>36.698</v>
      </c>
      <c r="F112" s="67">
        <v>6.2690000000000001</v>
      </c>
      <c r="G112" s="67">
        <v>134.80000000000001</v>
      </c>
      <c r="H112" s="67">
        <v>58.5</v>
      </c>
      <c r="I112" s="67">
        <v>73.7</v>
      </c>
      <c r="J112" s="68">
        <v>2.637</v>
      </c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</row>
    <row r="113" spans="1:31" x14ac:dyDescent="0.3">
      <c r="A113" s="66" t="s">
        <v>657</v>
      </c>
      <c r="B113" s="67">
        <v>83.278000000000006</v>
      </c>
      <c r="C113" s="67">
        <v>11.17</v>
      </c>
      <c r="D113" s="67">
        <v>11.17</v>
      </c>
      <c r="E113" s="67">
        <v>37.74</v>
      </c>
      <c r="F113" s="67">
        <v>6.3380000000000001</v>
      </c>
      <c r="G113" s="67">
        <v>134.80000000000001</v>
      </c>
      <c r="H113" s="67">
        <v>59.5</v>
      </c>
      <c r="I113" s="67">
        <v>74.56</v>
      </c>
      <c r="J113" s="68">
        <v>2.637</v>
      </c>
      <c r="L113" s="63"/>
      <c r="M113" s="63"/>
      <c r="N113" s="63"/>
      <c r="O113" s="63"/>
      <c r="P113" s="63"/>
      <c r="Q113" s="63"/>
      <c r="R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38"/>
    </row>
    <row r="114" spans="1:31" x14ac:dyDescent="0.3">
      <c r="A114" s="66" t="s">
        <v>658</v>
      </c>
      <c r="B114" s="67">
        <v>86.606999999999999</v>
      </c>
      <c r="C114" s="67">
        <v>11.391</v>
      </c>
      <c r="D114" s="67">
        <v>11.391</v>
      </c>
      <c r="E114" s="67">
        <v>38.497</v>
      </c>
      <c r="F114" s="67">
        <v>6.3929999999999998</v>
      </c>
      <c r="G114" s="67">
        <v>134.80000000000001</v>
      </c>
      <c r="H114" s="67">
        <v>60.2</v>
      </c>
      <c r="I114" s="67">
        <v>76</v>
      </c>
      <c r="J114" s="68">
        <v>2.637</v>
      </c>
      <c r="L114" s="63"/>
      <c r="M114" s="63"/>
      <c r="N114" s="63"/>
      <c r="O114" s="63"/>
      <c r="P114" s="63"/>
      <c r="Q114" s="63"/>
      <c r="R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31" x14ac:dyDescent="0.3">
      <c r="A115" s="66" t="s">
        <v>659</v>
      </c>
      <c r="B115" s="67">
        <v>89.587000000000003</v>
      </c>
      <c r="C115" s="67">
        <v>11.6</v>
      </c>
      <c r="D115" s="67">
        <v>11.6</v>
      </c>
      <c r="E115" s="67">
        <v>38.844999999999999</v>
      </c>
      <c r="F115" s="67">
        <v>6.343</v>
      </c>
      <c r="G115" s="67">
        <v>134.80000000000001</v>
      </c>
      <c r="H115" s="67">
        <v>60.3</v>
      </c>
      <c r="I115" s="67">
        <v>77.23</v>
      </c>
      <c r="J115" s="68">
        <v>2.637</v>
      </c>
      <c r="L115" s="63"/>
      <c r="M115" s="63"/>
      <c r="N115" s="63"/>
      <c r="O115" s="63"/>
      <c r="P115" s="63"/>
      <c r="Q115" s="63"/>
      <c r="R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31" x14ac:dyDescent="0.3">
      <c r="A116" s="66" t="s">
        <v>660</v>
      </c>
      <c r="B116" s="67">
        <v>92.778000000000006</v>
      </c>
      <c r="C116" s="67">
        <v>11.827999999999999</v>
      </c>
      <c r="D116" s="67">
        <v>11.827999999999999</v>
      </c>
      <c r="E116" s="67">
        <v>38.799999999999997</v>
      </c>
      <c r="F116" s="67">
        <v>6.4589999999999996</v>
      </c>
      <c r="G116" s="67">
        <v>134.80000000000001</v>
      </c>
      <c r="H116" s="67">
        <v>60</v>
      </c>
      <c r="I116" s="67">
        <v>78.44</v>
      </c>
      <c r="J116" s="68">
        <v>2.637</v>
      </c>
      <c r="L116" s="63"/>
      <c r="M116" s="63"/>
      <c r="N116" s="63"/>
      <c r="O116" s="63"/>
      <c r="P116" s="63"/>
      <c r="Q116" s="63"/>
      <c r="R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31" x14ac:dyDescent="0.3">
      <c r="A117" s="66" t="s">
        <v>661</v>
      </c>
      <c r="B117" s="67">
        <v>96.153000000000006</v>
      </c>
      <c r="C117" s="67">
        <v>12.073</v>
      </c>
      <c r="D117" s="67">
        <v>12.073</v>
      </c>
      <c r="E117" s="67">
        <v>38.387999999999998</v>
      </c>
      <c r="F117" s="67">
        <v>6.47</v>
      </c>
      <c r="G117" s="67">
        <v>134.80000000000001</v>
      </c>
      <c r="H117" s="67">
        <v>59.3</v>
      </c>
      <c r="I117" s="67">
        <v>79.64</v>
      </c>
      <c r="J117" s="68">
        <v>2.637</v>
      </c>
      <c r="L117" s="63"/>
      <c r="M117" s="63"/>
      <c r="N117" s="63"/>
      <c r="O117" s="63"/>
      <c r="P117" s="63"/>
      <c r="Q117" s="63"/>
      <c r="R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31" x14ac:dyDescent="0.3">
      <c r="A118" s="66" t="s">
        <v>662</v>
      </c>
      <c r="B118" s="67">
        <v>99.680999999999997</v>
      </c>
      <c r="C118" s="67">
        <v>12.331</v>
      </c>
      <c r="D118" s="67">
        <v>12.331</v>
      </c>
      <c r="E118" s="67">
        <v>37.594999999999999</v>
      </c>
      <c r="F118" s="67">
        <v>6.4660000000000002</v>
      </c>
      <c r="G118" s="67">
        <v>134.80000000000001</v>
      </c>
      <c r="H118" s="67">
        <v>58.1</v>
      </c>
      <c r="I118" s="67">
        <v>80.84</v>
      </c>
      <c r="J118" s="68">
        <v>2.637</v>
      </c>
      <c r="L118" s="63"/>
      <c r="M118" s="63"/>
      <c r="N118" s="63"/>
      <c r="O118" s="63"/>
      <c r="P118" s="63"/>
      <c r="Q118" s="63"/>
      <c r="R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31" x14ac:dyDescent="0.3">
      <c r="A119" s="66" t="s">
        <v>663</v>
      </c>
      <c r="B119" s="67">
        <v>103.32</v>
      </c>
      <c r="C119" s="67">
        <v>12.598000000000001</v>
      </c>
      <c r="D119" s="67">
        <v>12.598000000000001</v>
      </c>
      <c r="E119" s="67">
        <v>36.456000000000003</v>
      </c>
      <c r="F119" s="67">
        <v>6.452</v>
      </c>
      <c r="G119" s="67">
        <v>134.80000000000001</v>
      </c>
      <c r="H119" s="67">
        <v>56.47</v>
      </c>
      <c r="I119" s="67">
        <v>82</v>
      </c>
      <c r="J119" s="68">
        <v>2.637</v>
      </c>
      <c r="L119" s="63"/>
      <c r="M119" s="63"/>
      <c r="N119" s="63"/>
      <c r="O119" s="63"/>
      <c r="P119" s="63"/>
      <c r="Q119" s="63"/>
      <c r="R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31" x14ac:dyDescent="0.3">
      <c r="A120" s="48"/>
      <c r="B120" s="49"/>
      <c r="C120" s="49"/>
      <c r="D120" s="49"/>
      <c r="E120" s="43"/>
      <c r="F120" s="43"/>
      <c r="G120" s="43"/>
      <c r="H120" s="43"/>
      <c r="I120" s="43"/>
      <c r="J120" s="34"/>
      <c r="L120" s="63"/>
      <c r="M120" s="63"/>
      <c r="N120" s="63"/>
      <c r="O120" s="63"/>
      <c r="P120" s="63"/>
      <c r="Q120" s="63"/>
      <c r="R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31" x14ac:dyDescent="0.3">
      <c r="A121" s="2" t="s">
        <v>506</v>
      </c>
      <c r="B121" s="49"/>
      <c r="C121" s="49"/>
      <c r="D121" s="49"/>
      <c r="E121" s="43"/>
      <c r="F121" s="43"/>
      <c r="G121" s="43"/>
      <c r="H121" s="43"/>
      <c r="I121" s="43"/>
      <c r="J121" s="34"/>
      <c r="L121" s="63"/>
      <c r="M121" s="63"/>
      <c r="N121" s="63"/>
      <c r="O121" s="63"/>
      <c r="P121" s="63"/>
      <c r="Q121" s="63"/>
      <c r="R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31" s="55" customFormat="1" x14ac:dyDescent="0.3">
      <c r="A122" s="66" t="s">
        <v>236</v>
      </c>
      <c r="B122" s="66" t="s">
        <v>206</v>
      </c>
      <c r="C122" s="66" t="s">
        <v>207</v>
      </c>
      <c r="D122" s="66" t="s">
        <v>326</v>
      </c>
      <c r="E122" s="66" t="s">
        <v>208</v>
      </c>
      <c r="F122" s="66" t="s">
        <v>209</v>
      </c>
      <c r="G122" s="66" t="s">
        <v>212</v>
      </c>
      <c r="H122" s="66" t="s">
        <v>210</v>
      </c>
      <c r="I122" s="66" t="s">
        <v>211</v>
      </c>
      <c r="J122" s="66" t="s">
        <v>299</v>
      </c>
      <c r="L122" s="63"/>
      <c r="M122" s="63"/>
      <c r="N122" s="63"/>
      <c r="O122" s="63"/>
      <c r="P122" s="63"/>
      <c r="Q122" s="63"/>
      <c r="R122" s="63"/>
      <c r="S122" s="2"/>
      <c r="T122" s="63"/>
      <c r="U122" s="63"/>
      <c r="V122" s="63"/>
      <c r="W122" s="63"/>
      <c r="X122" s="63"/>
      <c r="Y122" s="63"/>
      <c r="Z122" s="63"/>
      <c r="AA122" s="63"/>
      <c r="AB122" s="63"/>
      <c r="AC122" s="2"/>
      <c r="AD122" s="2"/>
      <c r="AE122" s="2"/>
    </row>
    <row r="123" spans="1:31" x14ac:dyDescent="0.3">
      <c r="A123" s="66" t="s">
        <v>499</v>
      </c>
      <c r="B123" s="67">
        <v>10.3</v>
      </c>
      <c r="C123" s="67">
        <v>3.78</v>
      </c>
      <c r="D123" s="71" t="s">
        <v>559</v>
      </c>
      <c r="E123" s="67">
        <v>6.37</v>
      </c>
      <c r="F123" s="67">
        <v>3.18</v>
      </c>
      <c r="G123" s="67">
        <v>134.80000000000001</v>
      </c>
      <c r="H123" s="67">
        <v>20</v>
      </c>
      <c r="I123" s="67">
        <v>27.3</v>
      </c>
      <c r="J123" s="69">
        <v>0.92700000000000005</v>
      </c>
      <c r="L123" s="63"/>
      <c r="M123" s="63"/>
      <c r="N123" s="63"/>
      <c r="O123" s="63"/>
      <c r="P123" s="63"/>
      <c r="Q123" s="63"/>
      <c r="R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31" x14ac:dyDescent="0.3">
      <c r="A124" s="45" t="s">
        <v>500</v>
      </c>
      <c r="B124" s="35">
        <v>19.489999999999998</v>
      </c>
      <c r="C124" s="35">
        <v>5.55</v>
      </c>
      <c r="D124" s="71" t="s">
        <v>559</v>
      </c>
      <c r="E124" s="35">
        <v>7.83</v>
      </c>
      <c r="F124" s="35">
        <v>3.91</v>
      </c>
      <c r="G124" s="35">
        <v>134.80000000000001</v>
      </c>
      <c r="H124" s="35">
        <v>20</v>
      </c>
      <c r="I124" s="35">
        <v>35.1</v>
      </c>
      <c r="J124" s="36">
        <v>1.0329999999999999</v>
      </c>
      <c r="L124" s="63"/>
      <c r="M124" s="63"/>
      <c r="N124" s="63"/>
      <c r="O124" s="63"/>
      <c r="P124" s="63"/>
      <c r="Q124" s="63"/>
      <c r="R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31" x14ac:dyDescent="0.3">
      <c r="A125" s="66" t="s">
        <v>501</v>
      </c>
      <c r="B125" s="67">
        <v>39.659999999999997</v>
      </c>
      <c r="C125" s="67">
        <v>9.07</v>
      </c>
      <c r="D125" s="67">
        <v>8.8699999999999992</v>
      </c>
      <c r="E125" s="67">
        <v>9.92</v>
      </c>
      <c r="F125" s="67">
        <v>4.96</v>
      </c>
      <c r="G125" s="67">
        <v>134.80000000000001</v>
      </c>
      <c r="H125" s="67">
        <v>20</v>
      </c>
      <c r="I125" s="67">
        <v>43.7</v>
      </c>
      <c r="J125" s="69">
        <v>1.2150000000000001</v>
      </c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31" x14ac:dyDescent="0.3">
      <c r="A126" s="66" t="s">
        <v>502</v>
      </c>
      <c r="B126" s="67">
        <v>67.27</v>
      </c>
      <c r="C126" s="67">
        <v>12.72</v>
      </c>
      <c r="D126" s="67">
        <v>12.15</v>
      </c>
      <c r="E126" s="67">
        <v>11.96</v>
      </c>
      <c r="F126" s="67">
        <v>5.98</v>
      </c>
      <c r="G126" s="67">
        <v>134.80000000000001</v>
      </c>
      <c r="H126" s="67">
        <v>20</v>
      </c>
      <c r="I126" s="67">
        <v>52.9</v>
      </c>
      <c r="J126" s="69">
        <v>1.3740000000000001</v>
      </c>
      <c r="S126" s="55"/>
      <c r="T126" s="63"/>
      <c r="U126" s="63"/>
      <c r="V126" s="63"/>
      <c r="W126" s="63"/>
      <c r="X126" s="63"/>
      <c r="Y126" s="63"/>
      <c r="Z126" s="63"/>
      <c r="AA126" s="63"/>
      <c r="AB126" s="63"/>
      <c r="AC126" s="55"/>
      <c r="AD126" s="55"/>
      <c r="AE126" s="55"/>
    </row>
    <row r="127" spans="1:31" x14ac:dyDescent="0.3">
      <c r="A127" s="66" t="s">
        <v>503</v>
      </c>
      <c r="B127" s="67">
        <v>80.86</v>
      </c>
      <c r="C127" s="67">
        <v>14.36</v>
      </c>
      <c r="D127" s="67">
        <v>13.57</v>
      </c>
      <c r="E127" s="67">
        <v>13.27</v>
      </c>
      <c r="F127" s="67">
        <v>6.63</v>
      </c>
      <c r="G127" s="67">
        <v>134.80000000000001</v>
      </c>
      <c r="H127" s="67">
        <v>20</v>
      </c>
      <c r="I127" s="67">
        <v>56.3</v>
      </c>
      <c r="J127" s="69">
        <v>1.4730000000000001</v>
      </c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31" x14ac:dyDescent="0.3">
      <c r="A128" s="66" t="s">
        <v>504</v>
      </c>
      <c r="B128" s="35">
        <v>100.55</v>
      </c>
      <c r="C128" s="35">
        <v>16.54</v>
      </c>
      <c r="D128" s="35">
        <v>15.45</v>
      </c>
      <c r="E128" s="35">
        <v>14.9</v>
      </c>
      <c r="F128" s="35">
        <v>7.45</v>
      </c>
      <c r="G128" s="35">
        <v>134.80000000000001</v>
      </c>
      <c r="H128" s="35">
        <v>20</v>
      </c>
      <c r="I128" s="35">
        <v>60.8</v>
      </c>
      <c r="J128" s="36">
        <v>1.597</v>
      </c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 x14ac:dyDescent="0.3">
      <c r="A129" s="66" t="s">
        <v>505</v>
      </c>
      <c r="B129" s="67">
        <v>122.17</v>
      </c>
      <c r="C129" s="67">
        <v>18.899999999999999</v>
      </c>
      <c r="D129" s="67">
        <v>17.510000000000002</v>
      </c>
      <c r="E129" s="67">
        <v>16.690000000000001</v>
      </c>
      <c r="F129" s="67">
        <v>8.35</v>
      </c>
      <c r="G129" s="67">
        <v>134.80000000000001</v>
      </c>
      <c r="H129" s="67">
        <v>20</v>
      </c>
      <c r="I129" s="67">
        <v>64.7</v>
      </c>
      <c r="J129" s="69">
        <v>1.7350000000000001</v>
      </c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 x14ac:dyDescent="0.3">
      <c r="A130" s="70" t="s">
        <v>551</v>
      </c>
      <c r="B130" s="71"/>
      <c r="C130" s="71"/>
      <c r="D130" s="71"/>
      <c r="E130" s="71"/>
      <c r="F130" s="71"/>
      <c r="G130" s="71"/>
      <c r="H130" s="71"/>
      <c r="I130" s="71"/>
      <c r="J130" s="72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 x14ac:dyDescent="0.3">
      <c r="A131" s="66" t="s">
        <v>552</v>
      </c>
      <c r="B131" s="71">
        <v>16.53</v>
      </c>
      <c r="C131" s="71">
        <v>5.3070000000000004</v>
      </c>
      <c r="D131" s="71" t="s">
        <v>559</v>
      </c>
      <c r="E131" s="71">
        <v>9.4700000000000006</v>
      </c>
      <c r="F131" s="71">
        <v>4.74</v>
      </c>
      <c r="G131" s="67">
        <v>134.80000000000001</v>
      </c>
      <c r="H131" s="67">
        <v>20</v>
      </c>
      <c r="I131" s="71">
        <v>31.1</v>
      </c>
      <c r="J131" s="72">
        <v>1.8089999999999999</v>
      </c>
      <c r="L131" s="63"/>
      <c r="M131" s="63"/>
      <c r="N131" s="63"/>
      <c r="O131" s="63"/>
      <c r="P131" s="63"/>
      <c r="Q131" s="63"/>
      <c r="R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 x14ac:dyDescent="0.3">
      <c r="A132" s="66" t="s">
        <v>553</v>
      </c>
      <c r="B132" s="71">
        <v>33.274999999999999</v>
      </c>
      <c r="C132" s="71">
        <v>8.8360000000000003</v>
      </c>
      <c r="D132" s="71" t="s">
        <v>559</v>
      </c>
      <c r="E132" s="71">
        <v>11.555999999999999</v>
      </c>
      <c r="F132" s="71">
        <v>5.7779999999999996</v>
      </c>
      <c r="G132" s="67">
        <v>134.80000000000001</v>
      </c>
      <c r="H132" s="67">
        <v>20</v>
      </c>
      <c r="I132" s="71">
        <v>37.659999999999997</v>
      </c>
      <c r="J132" s="72">
        <v>2.0670000000000002</v>
      </c>
      <c r="L132" s="63"/>
      <c r="M132" s="63"/>
      <c r="N132" s="63"/>
      <c r="O132" s="63"/>
      <c r="P132" s="63"/>
      <c r="Q132" s="63"/>
      <c r="R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 x14ac:dyDescent="0.3">
      <c r="A133" s="66" t="s">
        <v>554</v>
      </c>
      <c r="B133" s="71">
        <v>67.91</v>
      </c>
      <c r="C133" s="71">
        <v>14.52</v>
      </c>
      <c r="D133" s="71">
        <v>10.65</v>
      </c>
      <c r="E133" s="71">
        <v>14.43</v>
      </c>
      <c r="F133" s="71">
        <v>7.2140000000000004</v>
      </c>
      <c r="G133" s="67">
        <v>134.80000000000001</v>
      </c>
      <c r="H133" s="67">
        <v>20</v>
      </c>
      <c r="I133" s="71">
        <v>39.479999999999997</v>
      </c>
      <c r="J133" s="72">
        <v>2.44</v>
      </c>
      <c r="L133" s="63"/>
      <c r="M133" s="63"/>
      <c r="N133" s="63"/>
      <c r="O133" s="63"/>
      <c r="P133" s="63"/>
      <c r="Q133" s="63"/>
      <c r="R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 x14ac:dyDescent="0.3">
      <c r="A134" s="66" t="s">
        <v>555</v>
      </c>
      <c r="B134" s="71">
        <v>117.24</v>
      </c>
      <c r="C134" s="71">
        <v>21.056000000000001</v>
      </c>
      <c r="D134" s="71">
        <v>15.513999999999999</v>
      </c>
      <c r="E134" s="71">
        <v>17.25</v>
      </c>
      <c r="F134" s="71">
        <v>8.6199999999999992</v>
      </c>
      <c r="G134" s="67">
        <v>134.80000000000001</v>
      </c>
      <c r="H134" s="67">
        <v>20</v>
      </c>
      <c r="I134" s="71">
        <v>55.68</v>
      </c>
      <c r="J134" s="72">
        <v>2.7909999999999999</v>
      </c>
      <c r="L134" s="63"/>
      <c r="M134" s="63"/>
      <c r="N134" s="63"/>
      <c r="O134" s="63"/>
      <c r="P134" s="63"/>
      <c r="Q134" s="63"/>
      <c r="R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 x14ac:dyDescent="0.3">
      <c r="A135" s="66" t="s">
        <v>556</v>
      </c>
      <c r="B135" s="71">
        <v>143.01499999999999</v>
      </c>
      <c r="C135" s="71">
        <v>24.125</v>
      </c>
      <c r="D135" s="71">
        <v>17.84</v>
      </c>
      <c r="E135" s="71">
        <v>19.126000000000001</v>
      </c>
      <c r="F135" s="71">
        <v>9.5630000000000006</v>
      </c>
      <c r="G135" s="67">
        <v>134.80000000000001</v>
      </c>
      <c r="H135" s="67">
        <v>20</v>
      </c>
      <c r="I135" s="71">
        <v>59.28</v>
      </c>
      <c r="J135" s="72">
        <v>3.0459999999999998</v>
      </c>
      <c r="L135" s="63"/>
      <c r="M135" s="63"/>
      <c r="N135" s="63"/>
      <c r="O135" s="63"/>
      <c r="P135" s="63"/>
      <c r="Q135" s="63"/>
      <c r="R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 x14ac:dyDescent="0.3">
      <c r="A136" s="66" t="s">
        <v>557</v>
      </c>
      <c r="B136" s="71">
        <v>179.15</v>
      </c>
      <c r="C136" s="71">
        <v>28.1</v>
      </c>
      <c r="D136" s="71">
        <v>20.849</v>
      </c>
      <c r="E136" s="71">
        <v>21.187000000000001</v>
      </c>
      <c r="F136" s="71">
        <v>10.593999999999999</v>
      </c>
      <c r="G136" s="67">
        <v>134.80000000000001</v>
      </c>
      <c r="H136" s="67">
        <v>20</v>
      </c>
      <c r="I136" s="71">
        <v>63.76</v>
      </c>
      <c r="J136" s="72">
        <v>3.2770000000000001</v>
      </c>
      <c r="L136" s="63"/>
      <c r="M136" s="63"/>
      <c r="N136" s="63"/>
      <c r="O136" s="63"/>
      <c r="P136" s="63"/>
      <c r="Q136" s="63"/>
      <c r="R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 x14ac:dyDescent="0.3">
      <c r="A137" s="66" t="s">
        <v>558</v>
      </c>
      <c r="B137" s="67">
        <v>217.453</v>
      </c>
      <c r="C137" s="67">
        <v>32.087000000000003</v>
      </c>
      <c r="D137" s="67">
        <v>23.864999999999998</v>
      </c>
      <c r="E137" s="67">
        <v>23.364000000000001</v>
      </c>
      <c r="F137" s="67">
        <v>11.682</v>
      </c>
      <c r="G137" s="67">
        <v>134.80000000000001</v>
      </c>
      <c r="H137" s="67">
        <v>20</v>
      </c>
      <c r="I137" s="67">
        <v>67.77</v>
      </c>
      <c r="J137" s="69">
        <v>3.51</v>
      </c>
      <c r="L137" s="63"/>
      <c r="M137" s="63"/>
      <c r="N137" s="63"/>
      <c r="O137" s="63"/>
      <c r="P137" s="63"/>
      <c r="Q137" s="63"/>
      <c r="R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 x14ac:dyDescent="0.3">
      <c r="A138" s="48"/>
      <c r="B138" s="49"/>
      <c r="C138" s="49"/>
      <c r="D138" s="49"/>
      <c r="E138" s="43"/>
      <c r="F138" s="43"/>
      <c r="G138" s="43"/>
      <c r="H138" s="43"/>
      <c r="I138" s="43"/>
      <c r="J138" s="34"/>
      <c r="L138" s="63"/>
      <c r="M138" s="63"/>
      <c r="N138" s="63"/>
      <c r="O138" s="63"/>
      <c r="P138" s="63"/>
      <c r="Q138" s="63"/>
      <c r="R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 x14ac:dyDescent="0.3">
      <c r="A139" s="38" t="s">
        <v>516</v>
      </c>
      <c r="B139" s="38"/>
      <c r="C139" s="38"/>
      <c r="D139" s="38"/>
      <c r="E139" s="38"/>
      <c r="F139" s="38"/>
      <c r="G139" s="38"/>
      <c r="H139" s="38"/>
      <c r="I139" s="38"/>
      <c r="J139" s="38"/>
      <c r="L139" s="38" t="s">
        <v>529</v>
      </c>
      <c r="M139" s="38"/>
      <c r="N139" s="38"/>
      <c r="O139" s="38"/>
      <c r="P139" s="38"/>
      <c r="Q139" s="38"/>
      <c r="R139" s="38"/>
      <c r="T139" s="38" t="s">
        <v>530</v>
      </c>
      <c r="U139" s="38"/>
      <c r="V139" s="38"/>
      <c r="W139" s="38"/>
      <c r="X139" s="38"/>
      <c r="Y139" s="38"/>
      <c r="Z139" s="38"/>
      <c r="AA139" s="38"/>
      <c r="AB139" s="38"/>
    </row>
    <row r="140" spans="1:28" x14ac:dyDescent="0.3">
      <c r="A140" s="38" t="s">
        <v>236</v>
      </c>
      <c r="B140" s="38" t="s">
        <v>206</v>
      </c>
      <c r="C140" s="38" t="s">
        <v>207</v>
      </c>
      <c r="D140" s="38" t="s">
        <v>326</v>
      </c>
      <c r="E140" s="38" t="s">
        <v>208</v>
      </c>
      <c r="F140" s="38" t="s">
        <v>209</v>
      </c>
      <c r="G140" s="38" t="s">
        <v>212</v>
      </c>
      <c r="H140" s="38" t="s">
        <v>210</v>
      </c>
      <c r="I140" s="38" t="s">
        <v>211</v>
      </c>
      <c r="J140" s="38" t="s">
        <v>299</v>
      </c>
      <c r="L140" s="38" t="s">
        <v>236</v>
      </c>
      <c r="M140" s="38" t="s">
        <v>206</v>
      </c>
      <c r="N140" s="38" t="s">
        <v>207</v>
      </c>
      <c r="O140" s="38" t="s">
        <v>208</v>
      </c>
      <c r="P140" s="38" t="s">
        <v>209</v>
      </c>
      <c r="Q140" s="38" t="s">
        <v>212</v>
      </c>
      <c r="R140" s="38" t="s">
        <v>299</v>
      </c>
      <c r="T140" s="38" t="s">
        <v>236</v>
      </c>
      <c r="U140" s="38" t="s">
        <v>206</v>
      </c>
      <c r="V140" s="38" t="s">
        <v>207</v>
      </c>
      <c r="W140" s="38" t="s">
        <v>208</v>
      </c>
      <c r="X140" s="38" t="s">
        <v>209</v>
      </c>
      <c r="Y140" s="38" t="s">
        <v>212</v>
      </c>
      <c r="Z140" s="38" t="s">
        <v>210</v>
      </c>
      <c r="AA140" s="38" t="s">
        <v>211</v>
      </c>
      <c r="AB140" s="38" t="s">
        <v>299</v>
      </c>
    </row>
    <row r="141" spans="1:28" x14ac:dyDescent="0.3">
      <c r="A141" s="66" t="s">
        <v>517</v>
      </c>
      <c r="B141" s="67">
        <v>45.69</v>
      </c>
      <c r="C141" s="67">
        <v>8.64</v>
      </c>
      <c r="D141" s="67">
        <v>7.81</v>
      </c>
      <c r="E141" s="49">
        <v>9.64</v>
      </c>
      <c r="F141" s="49">
        <v>3.16</v>
      </c>
      <c r="G141" s="49">
        <v>134.80000000000001</v>
      </c>
      <c r="H141" s="49"/>
      <c r="I141" s="49"/>
      <c r="J141" s="34">
        <v>1.1599999999999999</v>
      </c>
      <c r="L141" s="38" t="s">
        <v>521</v>
      </c>
      <c r="M141" s="49">
        <v>5.54</v>
      </c>
      <c r="N141" s="49">
        <v>2.37</v>
      </c>
      <c r="O141" s="49">
        <v>5.42</v>
      </c>
      <c r="P141" s="49">
        <v>1.78</v>
      </c>
      <c r="Q141" s="49">
        <v>134.80000000000001</v>
      </c>
      <c r="R141" s="34">
        <v>0.61</v>
      </c>
      <c r="T141" s="48" t="s">
        <v>517</v>
      </c>
      <c r="U141" s="49">
        <v>45.69</v>
      </c>
      <c r="V141" s="49">
        <v>8.64</v>
      </c>
      <c r="W141" s="49">
        <v>9.64</v>
      </c>
      <c r="X141" s="49">
        <v>3.16</v>
      </c>
      <c r="Y141" s="49">
        <v>134.80000000000001</v>
      </c>
      <c r="Z141" s="49">
        <v>30.5</v>
      </c>
      <c r="AA141" s="49">
        <v>52.9</v>
      </c>
      <c r="AB141" s="34">
        <v>1.1599999999999999</v>
      </c>
    </row>
    <row r="142" spans="1:28" x14ac:dyDescent="0.3">
      <c r="A142" s="45" t="s">
        <v>518</v>
      </c>
      <c r="B142" s="35">
        <v>59.02</v>
      </c>
      <c r="C142" s="35">
        <v>10.08</v>
      </c>
      <c r="D142" s="35">
        <v>9.3179999999999996</v>
      </c>
      <c r="E142" s="35">
        <v>10.199999999999999</v>
      </c>
      <c r="F142" s="35">
        <v>3.34</v>
      </c>
      <c r="G142" s="35">
        <v>134.80000000000001</v>
      </c>
      <c r="H142" s="35"/>
      <c r="I142" s="35"/>
      <c r="J142" s="36">
        <v>1.24</v>
      </c>
      <c r="L142" s="38" t="s">
        <v>522</v>
      </c>
      <c r="M142" s="35">
        <v>5.04</v>
      </c>
      <c r="N142" s="35">
        <v>2.15</v>
      </c>
      <c r="O142" s="35">
        <v>3.72</v>
      </c>
      <c r="P142" s="35">
        <v>1.35</v>
      </c>
      <c r="Q142" s="35">
        <v>134.80000000000001</v>
      </c>
      <c r="R142" s="36">
        <v>0.57999999999999996</v>
      </c>
      <c r="T142" s="45" t="s">
        <v>518</v>
      </c>
      <c r="U142" s="35">
        <v>59.02</v>
      </c>
      <c r="V142" s="35">
        <v>10.08</v>
      </c>
      <c r="W142" s="35">
        <v>10.199999999999999</v>
      </c>
      <c r="X142" s="35">
        <v>3.34</v>
      </c>
      <c r="Y142" s="35">
        <v>134.80000000000001</v>
      </c>
      <c r="Z142" s="49">
        <v>30.5</v>
      </c>
      <c r="AA142" s="35">
        <v>57.4</v>
      </c>
      <c r="AB142" s="36">
        <v>1.24</v>
      </c>
    </row>
    <row r="143" spans="1:28" x14ac:dyDescent="0.3">
      <c r="A143" s="66" t="s">
        <v>519</v>
      </c>
      <c r="B143" s="67">
        <v>84.24</v>
      </c>
      <c r="C143" s="67">
        <v>13.95</v>
      </c>
      <c r="D143" s="67">
        <v>11.71</v>
      </c>
      <c r="E143" s="49">
        <v>11.34</v>
      </c>
      <c r="F143" s="49">
        <v>3.72</v>
      </c>
      <c r="G143" s="49">
        <v>134.80000000000001</v>
      </c>
      <c r="H143" s="49"/>
      <c r="I143" s="49"/>
      <c r="J143" s="34">
        <v>1.41</v>
      </c>
      <c r="L143" s="48" t="s">
        <v>525</v>
      </c>
      <c r="M143" s="49">
        <v>4.25</v>
      </c>
      <c r="N143" s="49">
        <v>1.96</v>
      </c>
      <c r="O143" s="49">
        <v>3.37</v>
      </c>
      <c r="P143" s="49">
        <v>1.23</v>
      </c>
      <c r="Q143" s="49">
        <v>134.80000000000001</v>
      </c>
      <c r="R143" s="34">
        <v>0.56000000000000005</v>
      </c>
      <c r="T143" s="48" t="s">
        <v>519</v>
      </c>
      <c r="U143" s="49">
        <v>84.24</v>
      </c>
      <c r="V143" s="49">
        <v>13.95</v>
      </c>
      <c r="W143" s="49">
        <v>11.34</v>
      </c>
      <c r="X143" s="49">
        <v>3.72</v>
      </c>
      <c r="Y143" s="49">
        <v>134.80000000000001</v>
      </c>
      <c r="Z143" s="49">
        <v>30.5</v>
      </c>
      <c r="AA143" s="49">
        <v>60.4</v>
      </c>
      <c r="AB143" s="34">
        <v>1.41</v>
      </c>
    </row>
    <row r="144" spans="1:28" x14ac:dyDescent="0.3">
      <c r="A144" s="66" t="s">
        <v>520</v>
      </c>
      <c r="B144" s="67">
        <v>111.05</v>
      </c>
      <c r="C144" s="67">
        <v>16.670000000000002</v>
      </c>
      <c r="D144" s="67">
        <v>14.15</v>
      </c>
      <c r="E144" s="49">
        <v>12.56</v>
      </c>
      <c r="F144" s="49">
        <v>4.12</v>
      </c>
      <c r="G144" s="49">
        <v>134.80000000000001</v>
      </c>
      <c r="H144" s="49"/>
      <c r="I144" s="49"/>
      <c r="J144" s="34">
        <v>1.54</v>
      </c>
      <c r="L144" s="48" t="s">
        <v>528</v>
      </c>
      <c r="M144" s="49">
        <v>8.82</v>
      </c>
      <c r="N144" s="49">
        <v>3.29</v>
      </c>
      <c r="O144" s="49">
        <v>10.02</v>
      </c>
      <c r="P144" s="49">
        <v>2.99</v>
      </c>
      <c r="Q144" s="49">
        <v>134.80000000000001</v>
      </c>
      <c r="R144" s="34">
        <v>0.96899999999999997</v>
      </c>
      <c r="T144" s="48" t="s">
        <v>520</v>
      </c>
      <c r="U144" s="49">
        <v>111.05</v>
      </c>
      <c r="V144" s="49">
        <v>16.670000000000002</v>
      </c>
      <c r="W144" s="49">
        <v>12.56</v>
      </c>
      <c r="X144" s="49">
        <v>4.12</v>
      </c>
      <c r="Y144" s="49">
        <v>134.80000000000001</v>
      </c>
      <c r="Z144" s="49">
        <v>30.5</v>
      </c>
      <c r="AA144" s="49">
        <v>66.599999999999994</v>
      </c>
      <c r="AB144" s="34">
        <v>1.54</v>
      </c>
    </row>
    <row r="145" spans="1:28" x14ac:dyDescent="0.3">
      <c r="A145" s="66" t="s">
        <v>527</v>
      </c>
      <c r="B145" s="67">
        <v>201.18</v>
      </c>
      <c r="C145" s="67">
        <v>27.25</v>
      </c>
      <c r="D145" s="67">
        <v>24.42</v>
      </c>
      <c r="E145" s="49">
        <v>26.73</v>
      </c>
      <c r="F145" s="49">
        <v>7.86</v>
      </c>
      <c r="G145" s="49">
        <v>134.80000000000001</v>
      </c>
      <c r="H145" s="49"/>
      <c r="I145" s="49"/>
      <c r="J145" s="34">
        <v>2.3980000000000001</v>
      </c>
      <c r="T145" s="48" t="s">
        <v>521</v>
      </c>
      <c r="U145" s="49">
        <v>5.54</v>
      </c>
      <c r="V145" s="49">
        <v>2.37</v>
      </c>
      <c r="W145" s="49">
        <v>5.42</v>
      </c>
      <c r="X145" s="49">
        <v>1.78</v>
      </c>
      <c r="Y145" s="49">
        <v>134.80000000000001</v>
      </c>
      <c r="Z145" s="49">
        <v>30.5</v>
      </c>
      <c r="AA145" s="49">
        <v>23.4</v>
      </c>
      <c r="AB145" s="34">
        <v>0.61</v>
      </c>
    </row>
    <row r="146" spans="1:28" x14ac:dyDescent="0.3">
      <c r="A146" s="38" t="s">
        <v>521</v>
      </c>
      <c r="B146" s="49">
        <v>5.54</v>
      </c>
      <c r="C146" s="49">
        <v>2.37</v>
      </c>
      <c r="D146" s="49"/>
      <c r="E146" s="49">
        <v>5.42</v>
      </c>
      <c r="F146" s="49">
        <v>1.78</v>
      </c>
      <c r="G146" s="49">
        <v>134.80000000000001</v>
      </c>
      <c r="H146" s="49"/>
      <c r="I146" s="49"/>
      <c r="J146" s="34">
        <v>0.61</v>
      </c>
      <c r="T146" s="48" t="s">
        <v>522</v>
      </c>
      <c r="U146" s="35">
        <v>5.04</v>
      </c>
      <c r="V146" s="35">
        <v>2.15</v>
      </c>
      <c r="W146" s="35">
        <v>3.72</v>
      </c>
      <c r="X146" s="35">
        <v>1.35</v>
      </c>
      <c r="Y146" s="35">
        <v>134.80000000000001</v>
      </c>
      <c r="Z146" s="49">
        <v>27.5</v>
      </c>
      <c r="AA146" s="35">
        <v>23.4</v>
      </c>
      <c r="AB146" s="36">
        <v>0.57999999999999996</v>
      </c>
    </row>
    <row r="147" spans="1:28" x14ac:dyDescent="0.3">
      <c r="A147" s="38" t="s">
        <v>522</v>
      </c>
      <c r="B147" s="35">
        <v>5.04</v>
      </c>
      <c r="C147" s="35">
        <v>2.15</v>
      </c>
      <c r="D147" s="35"/>
      <c r="E147" s="35">
        <v>3.72</v>
      </c>
      <c r="F147" s="35">
        <v>1.35</v>
      </c>
      <c r="G147" s="35">
        <v>134.80000000000001</v>
      </c>
      <c r="H147" s="35"/>
      <c r="I147" s="35"/>
      <c r="J147" s="36">
        <v>0.57999999999999996</v>
      </c>
      <c r="T147" s="48" t="s">
        <v>523</v>
      </c>
      <c r="U147" s="49">
        <v>5.1100000000000003</v>
      </c>
      <c r="V147" s="49">
        <v>2.3199999999999998</v>
      </c>
      <c r="W147" s="49">
        <v>3.93</v>
      </c>
      <c r="X147" s="49">
        <v>1.41</v>
      </c>
      <c r="Y147" s="49">
        <v>134.80000000000001</v>
      </c>
      <c r="Z147" s="49">
        <v>27.9</v>
      </c>
      <c r="AA147" s="49">
        <v>22</v>
      </c>
      <c r="AB147" s="34">
        <v>0.55000000000000004</v>
      </c>
    </row>
    <row r="148" spans="1:28" x14ac:dyDescent="0.3">
      <c r="A148" s="38" t="s">
        <v>523</v>
      </c>
      <c r="B148" s="49">
        <v>5.1100000000000003</v>
      </c>
      <c r="C148" s="49">
        <v>2.3199999999999998</v>
      </c>
      <c r="D148" s="49"/>
      <c r="E148" s="49">
        <v>3.93</v>
      </c>
      <c r="F148" s="49">
        <v>1.41</v>
      </c>
      <c r="G148" s="49">
        <v>134.80000000000001</v>
      </c>
      <c r="H148" s="49"/>
      <c r="I148" s="49"/>
      <c r="J148" s="34">
        <v>0.55000000000000004</v>
      </c>
      <c r="T148" s="45" t="s">
        <v>524</v>
      </c>
      <c r="U148" s="35">
        <v>4.6100000000000003</v>
      </c>
      <c r="V148" s="35">
        <v>2.1</v>
      </c>
      <c r="W148" s="35">
        <v>2.5499999999999998</v>
      </c>
      <c r="X148" s="35">
        <v>1.02</v>
      </c>
      <c r="Y148" s="35">
        <v>134.80000000000001</v>
      </c>
      <c r="Z148" s="49">
        <v>25.1</v>
      </c>
      <c r="AA148" s="35">
        <v>22</v>
      </c>
      <c r="AB148" s="36">
        <v>0.52</v>
      </c>
    </row>
    <row r="149" spans="1:28" x14ac:dyDescent="0.3">
      <c r="A149" s="29" t="s">
        <v>524</v>
      </c>
      <c r="B149" s="35">
        <v>4.6100000000000003</v>
      </c>
      <c r="C149" s="35">
        <v>2.1</v>
      </c>
      <c r="D149" s="35"/>
      <c r="E149" s="35">
        <v>2.5499999999999998</v>
      </c>
      <c r="F149" s="35">
        <v>1.02</v>
      </c>
      <c r="G149" s="35">
        <v>134.80000000000001</v>
      </c>
      <c r="H149" s="35"/>
      <c r="I149" s="35"/>
      <c r="J149" s="36">
        <v>0.52</v>
      </c>
      <c r="L149" s="63"/>
      <c r="M149" s="63"/>
      <c r="N149" s="63"/>
      <c r="O149" s="63"/>
      <c r="P149" s="63"/>
      <c r="Q149" s="63"/>
      <c r="R149" s="63"/>
      <c r="T149" s="48" t="s">
        <v>525</v>
      </c>
      <c r="U149" s="49">
        <v>4.25</v>
      </c>
      <c r="V149" s="49">
        <v>1.96</v>
      </c>
      <c r="W149" s="49">
        <v>3.37</v>
      </c>
      <c r="X149" s="49">
        <v>1.23</v>
      </c>
      <c r="Y149" s="49">
        <v>134.80000000000001</v>
      </c>
      <c r="Z149" s="49">
        <v>27.5</v>
      </c>
      <c r="AA149" s="49">
        <v>21.7</v>
      </c>
      <c r="AB149" s="34">
        <v>0.56000000000000005</v>
      </c>
    </row>
    <row r="150" spans="1:28" x14ac:dyDescent="0.3">
      <c r="A150" s="48" t="s">
        <v>525</v>
      </c>
      <c r="B150" s="49">
        <v>4.25</v>
      </c>
      <c r="C150" s="49">
        <v>1.96</v>
      </c>
      <c r="D150" s="49"/>
      <c r="E150" s="49">
        <v>3.37</v>
      </c>
      <c r="F150" s="49">
        <v>1.23</v>
      </c>
      <c r="G150" s="49">
        <v>134.80000000000001</v>
      </c>
      <c r="H150" s="49"/>
      <c r="I150" s="49"/>
      <c r="J150" s="34">
        <v>0.56000000000000005</v>
      </c>
      <c r="T150" s="48" t="s">
        <v>528</v>
      </c>
      <c r="U150" s="49">
        <v>8.82</v>
      </c>
      <c r="V150" s="49">
        <v>3.29</v>
      </c>
      <c r="W150" s="49">
        <v>10.02</v>
      </c>
      <c r="X150" s="49">
        <v>2.99</v>
      </c>
      <c r="Y150" s="49">
        <v>134.80000000000001</v>
      </c>
      <c r="Z150" s="49">
        <v>33.5</v>
      </c>
      <c r="AA150" s="49">
        <v>26.8</v>
      </c>
      <c r="AB150" s="34">
        <v>0.96899999999999997</v>
      </c>
    </row>
    <row r="151" spans="1:28" x14ac:dyDescent="0.3">
      <c r="A151" s="48" t="s">
        <v>528</v>
      </c>
      <c r="B151" s="49">
        <v>8.82</v>
      </c>
      <c r="C151" s="49">
        <v>3.29</v>
      </c>
      <c r="D151" s="49"/>
      <c r="E151" s="49">
        <v>10.02</v>
      </c>
      <c r="F151" s="49">
        <v>2.99</v>
      </c>
      <c r="G151" s="49">
        <v>134.80000000000001</v>
      </c>
      <c r="H151" s="49"/>
      <c r="I151" s="49"/>
      <c r="J151" s="34">
        <v>0.96899999999999997</v>
      </c>
      <c r="T151" s="66"/>
      <c r="U151" s="67"/>
      <c r="V151" s="67"/>
      <c r="W151" s="67"/>
      <c r="X151" s="67"/>
      <c r="Y151" s="67"/>
      <c r="Z151" s="67"/>
      <c r="AA151" s="67"/>
      <c r="AB151" s="69"/>
    </row>
    <row r="152" spans="1:28" x14ac:dyDescent="0.3">
      <c r="A152" s="56"/>
      <c r="B152" s="57"/>
      <c r="C152" s="57"/>
      <c r="D152" s="57"/>
      <c r="E152" s="57"/>
      <c r="F152" s="57"/>
      <c r="G152" s="57"/>
      <c r="H152" s="57"/>
      <c r="I152" s="57"/>
      <c r="J152" s="58"/>
    </row>
    <row r="153" spans="1:28" x14ac:dyDescent="0.3">
      <c r="A153" s="2" t="s">
        <v>535</v>
      </c>
      <c r="L153" s="2" t="s">
        <v>545</v>
      </c>
      <c r="T153" s="2" t="s">
        <v>546</v>
      </c>
    </row>
    <row r="154" spans="1:28" x14ac:dyDescent="0.3">
      <c r="A154" s="55" t="s">
        <v>236</v>
      </c>
      <c r="B154" s="55" t="s">
        <v>206</v>
      </c>
      <c r="C154" s="55" t="s">
        <v>207</v>
      </c>
      <c r="D154" s="55" t="s">
        <v>326</v>
      </c>
      <c r="E154" s="55" t="s">
        <v>208</v>
      </c>
      <c r="F154" s="55" t="s">
        <v>209</v>
      </c>
      <c r="G154" s="55" t="s">
        <v>212</v>
      </c>
      <c r="H154" s="55" t="s">
        <v>210</v>
      </c>
      <c r="I154" s="55" t="s">
        <v>211</v>
      </c>
      <c r="J154" s="55" t="s">
        <v>299</v>
      </c>
      <c r="L154" s="59" t="s">
        <v>236</v>
      </c>
      <c r="M154" s="59" t="s">
        <v>206</v>
      </c>
      <c r="N154" s="59" t="s">
        <v>207</v>
      </c>
      <c r="O154" s="59" t="s">
        <v>208</v>
      </c>
      <c r="P154" s="59" t="s">
        <v>209</v>
      </c>
      <c r="Q154" s="59" t="s">
        <v>212</v>
      </c>
      <c r="R154" s="59" t="s">
        <v>299</v>
      </c>
      <c r="T154" s="63" t="s">
        <v>236</v>
      </c>
      <c r="U154" s="63" t="s">
        <v>206</v>
      </c>
      <c r="V154" s="63" t="s">
        <v>207</v>
      </c>
      <c r="W154" s="63" t="s">
        <v>208</v>
      </c>
      <c r="X154" s="63" t="s">
        <v>209</v>
      </c>
      <c r="Y154" s="63" t="s">
        <v>212</v>
      </c>
      <c r="Z154" s="63" t="s">
        <v>210</v>
      </c>
      <c r="AA154" s="63" t="s">
        <v>211</v>
      </c>
      <c r="AB154" s="63" t="s">
        <v>299</v>
      </c>
    </row>
    <row r="155" spans="1:28" x14ac:dyDescent="0.3">
      <c r="A155" s="55" t="s">
        <v>536</v>
      </c>
      <c r="B155" s="57">
        <v>22.88</v>
      </c>
      <c r="C155" s="57">
        <v>6.76</v>
      </c>
      <c r="D155" s="57">
        <v>6.76</v>
      </c>
      <c r="E155" s="57">
        <v>15.16</v>
      </c>
      <c r="F155" s="57">
        <v>6.06</v>
      </c>
      <c r="G155" s="57">
        <v>134.80000000000001</v>
      </c>
      <c r="H155" s="57">
        <v>25</v>
      </c>
      <c r="I155" s="57">
        <v>33.799999999999997</v>
      </c>
      <c r="J155" s="58">
        <v>1.329</v>
      </c>
      <c r="L155" s="60" t="s">
        <v>536</v>
      </c>
      <c r="M155" s="67">
        <v>22.88</v>
      </c>
      <c r="N155" s="67">
        <v>6.76</v>
      </c>
      <c r="O155" s="61">
        <v>15.16</v>
      </c>
      <c r="P155" s="61">
        <v>6.06</v>
      </c>
      <c r="Q155" s="61">
        <v>134.80000000000001</v>
      </c>
      <c r="R155" s="62">
        <v>1.329</v>
      </c>
      <c r="T155" s="66" t="s">
        <v>536</v>
      </c>
      <c r="U155" s="67">
        <v>22.88</v>
      </c>
      <c r="V155" s="67">
        <v>6.76</v>
      </c>
      <c r="W155" s="67">
        <v>15.16</v>
      </c>
      <c r="X155" s="67">
        <v>6.06</v>
      </c>
      <c r="Y155" s="67">
        <v>134.80000000000001</v>
      </c>
      <c r="Z155" s="67">
        <v>25</v>
      </c>
      <c r="AA155" s="67">
        <v>33.799999999999997</v>
      </c>
      <c r="AB155" s="69">
        <v>1.329</v>
      </c>
    </row>
    <row r="156" spans="1:28" x14ac:dyDescent="0.3">
      <c r="A156" s="29" t="s">
        <v>537</v>
      </c>
      <c r="B156" s="35">
        <v>20.6</v>
      </c>
      <c r="C156" s="35">
        <v>6.02</v>
      </c>
      <c r="D156" s="35">
        <v>6.01</v>
      </c>
      <c r="E156" s="35">
        <v>12.69</v>
      </c>
      <c r="F156" s="35">
        <v>5.08</v>
      </c>
      <c r="G156" s="35">
        <v>134.80000000000001</v>
      </c>
      <c r="H156" s="35">
        <v>25</v>
      </c>
      <c r="I156" s="35">
        <v>34.200000000000003</v>
      </c>
      <c r="J156" s="36">
        <v>1.151</v>
      </c>
      <c r="L156" s="60" t="s">
        <v>537</v>
      </c>
      <c r="M156" s="35">
        <v>20.6</v>
      </c>
      <c r="N156" s="35">
        <v>6.02</v>
      </c>
      <c r="O156" s="61">
        <v>12.69</v>
      </c>
      <c r="P156" s="61">
        <v>5.08</v>
      </c>
      <c r="Q156" s="61">
        <v>134.80000000000001</v>
      </c>
      <c r="R156" s="62">
        <v>1.151</v>
      </c>
      <c r="T156" s="66" t="s">
        <v>537</v>
      </c>
      <c r="U156" s="67">
        <v>20.6</v>
      </c>
      <c r="V156" s="67">
        <v>6.02</v>
      </c>
      <c r="W156" s="67">
        <v>12.69</v>
      </c>
      <c r="X156" s="67">
        <v>5.08</v>
      </c>
      <c r="Y156" s="67">
        <v>134.80000000000001</v>
      </c>
      <c r="Z156" s="67">
        <v>25</v>
      </c>
      <c r="AA156" s="67">
        <v>34.200000000000003</v>
      </c>
      <c r="AB156" s="69">
        <v>1.151</v>
      </c>
    </row>
    <row r="157" spans="1:28" x14ac:dyDescent="0.3">
      <c r="A157" s="55" t="s">
        <v>538</v>
      </c>
      <c r="B157" s="57">
        <v>80.64</v>
      </c>
      <c r="C157" s="57">
        <v>15.22</v>
      </c>
      <c r="D157" s="57">
        <v>15.22</v>
      </c>
      <c r="E157" s="57">
        <v>23.04</v>
      </c>
      <c r="F157" s="57">
        <v>9.2100000000000009</v>
      </c>
      <c r="G157" s="57">
        <v>122.26</v>
      </c>
      <c r="H157" s="57">
        <v>25</v>
      </c>
      <c r="I157" s="57">
        <v>53</v>
      </c>
      <c r="J157" s="58">
        <v>1.8680000000000001</v>
      </c>
      <c r="L157" s="60" t="s">
        <v>538</v>
      </c>
      <c r="M157" s="67">
        <v>80.64</v>
      </c>
      <c r="N157" s="67">
        <v>15.22</v>
      </c>
      <c r="O157" s="61">
        <v>23.04</v>
      </c>
      <c r="P157" s="61">
        <v>9.2100000000000009</v>
      </c>
      <c r="Q157" s="61">
        <v>122.26</v>
      </c>
      <c r="R157" s="62">
        <v>1.8680000000000001</v>
      </c>
      <c r="T157" s="66" t="s">
        <v>538</v>
      </c>
      <c r="U157" s="67">
        <v>80.64</v>
      </c>
      <c r="V157" s="67">
        <v>15.22</v>
      </c>
      <c r="W157" s="67">
        <v>23.04</v>
      </c>
      <c r="X157" s="67">
        <v>9.2100000000000009</v>
      </c>
      <c r="Y157" s="67">
        <v>122.26</v>
      </c>
      <c r="Z157" s="67">
        <v>25</v>
      </c>
      <c r="AA157" s="67">
        <v>53</v>
      </c>
      <c r="AB157" s="69">
        <v>1.8680000000000001</v>
      </c>
    </row>
    <row r="158" spans="1:28" x14ac:dyDescent="0.3">
      <c r="A158" s="55" t="s">
        <v>539</v>
      </c>
      <c r="B158" s="57">
        <v>68.5</v>
      </c>
      <c r="C158" s="57">
        <v>13.68</v>
      </c>
      <c r="D158" s="57">
        <v>13.68</v>
      </c>
      <c r="E158" s="57">
        <v>20.29</v>
      </c>
      <c r="F158" s="57">
        <v>8.1199999999999992</v>
      </c>
      <c r="G158" s="57">
        <v>134.80000000000001</v>
      </c>
      <c r="H158" s="57">
        <v>25</v>
      </c>
      <c r="I158" s="57">
        <v>50.1</v>
      </c>
      <c r="J158" s="58">
        <v>1.6240000000000001</v>
      </c>
      <c r="L158" s="60" t="s">
        <v>544</v>
      </c>
      <c r="M158" s="61">
        <v>8.25</v>
      </c>
      <c r="N158" s="61">
        <v>3.23</v>
      </c>
      <c r="O158" s="61">
        <v>10.79</v>
      </c>
      <c r="P158" s="61">
        <v>4.32</v>
      </c>
      <c r="Q158" s="61">
        <v>134.80000000000001</v>
      </c>
      <c r="R158" s="62">
        <v>1.1240000000000001</v>
      </c>
      <c r="T158" s="66" t="s">
        <v>544</v>
      </c>
      <c r="U158" s="67">
        <v>8.25</v>
      </c>
      <c r="V158" s="67">
        <v>3.23</v>
      </c>
      <c r="W158" s="67">
        <v>10.79</v>
      </c>
      <c r="X158" s="67">
        <v>4.32</v>
      </c>
      <c r="Y158" s="67">
        <v>134.80000000000001</v>
      </c>
      <c r="Z158" s="67">
        <v>25</v>
      </c>
      <c r="AA158" s="67">
        <v>25.5</v>
      </c>
      <c r="AB158" s="69">
        <v>1.1240000000000001</v>
      </c>
    </row>
    <row r="159" spans="1:28" x14ac:dyDescent="0.3">
      <c r="A159" s="55" t="s">
        <v>540</v>
      </c>
      <c r="B159" s="57">
        <v>63.25</v>
      </c>
      <c r="C159" s="57">
        <v>12.86</v>
      </c>
      <c r="D159" s="57">
        <v>12.86</v>
      </c>
      <c r="E159" s="57">
        <v>18.47</v>
      </c>
      <c r="F159" s="57">
        <v>7.39</v>
      </c>
      <c r="G159" s="57">
        <v>122.26</v>
      </c>
      <c r="H159" s="57">
        <v>25</v>
      </c>
      <c r="I159" s="57">
        <v>49.2</v>
      </c>
      <c r="J159" s="58">
        <v>1.4810000000000001</v>
      </c>
      <c r="L159" s="60" t="s">
        <v>539</v>
      </c>
      <c r="M159" s="61">
        <v>68.5</v>
      </c>
      <c r="N159" s="61">
        <v>13.68</v>
      </c>
      <c r="O159" s="61">
        <v>20.29</v>
      </c>
      <c r="P159" s="61">
        <v>8.1199999999999992</v>
      </c>
      <c r="Q159" s="61">
        <v>134.80000000000001</v>
      </c>
      <c r="R159" s="62">
        <v>1.6240000000000001</v>
      </c>
      <c r="T159" s="66" t="s">
        <v>539</v>
      </c>
      <c r="U159" s="67">
        <v>68.5</v>
      </c>
      <c r="V159" s="67">
        <v>13.68</v>
      </c>
      <c r="W159" s="67">
        <v>20.29</v>
      </c>
      <c r="X159" s="67">
        <v>8.1199999999999992</v>
      </c>
      <c r="Y159" s="67">
        <v>134.80000000000001</v>
      </c>
      <c r="Z159" s="67">
        <v>25</v>
      </c>
      <c r="AA159" s="67">
        <v>50.1</v>
      </c>
      <c r="AB159" s="69">
        <v>1.6240000000000001</v>
      </c>
    </row>
    <row r="160" spans="1:28" x14ac:dyDescent="0.3">
      <c r="A160" s="55" t="s">
        <v>541</v>
      </c>
      <c r="B160" s="35">
        <v>137.1</v>
      </c>
      <c r="C160" s="35">
        <v>21.5</v>
      </c>
      <c r="D160" s="35">
        <v>21.5</v>
      </c>
      <c r="E160" s="35">
        <v>27.81</v>
      </c>
      <c r="F160" s="35">
        <v>11.12</v>
      </c>
      <c r="G160" s="35">
        <v>122.26</v>
      </c>
      <c r="H160" s="35">
        <v>25</v>
      </c>
      <c r="I160" s="35">
        <v>63.8</v>
      </c>
      <c r="J160" s="36">
        <v>2.093</v>
      </c>
      <c r="L160" s="60" t="s">
        <v>540</v>
      </c>
      <c r="M160" s="61">
        <v>63.25</v>
      </c>
      <c r="N160" s="61">
        <v>12.86</v>
      </c>
      <c r="O160" s="61">
        <v>18.47</v>
      </c>
      <c r="P160" s="61">
        <v>7.39</v>
      </c>
      <c r="Q160" s="61">
        <v>122.26</v>
      </c>
      <c r="R160" s="62">
        <v>1.4810000000000001</v>
      </c>
      <c r="T160" s="66" t="s">
        <v>540</v>
      </c>
      <c r="U160" s="67">
        <v>63.25</v>
      </c>
      <c r="V160" s="67">
        <v>12.86</v>
      </c>
      <c r="W160" s="67">
        <v>18.47</v>
      </c>
      <c r="X160" s="67">
        <v>7.39</v>
      </c>
      <c r="Y160" s="67">
        <v>122.26</v>
      </c>
      <c r="Z160" s="67">
        <v>25</v>
      </c>
      <c r="AA160" s="67">
        <v>49.2</v>
      </c>
      <c r="AB160" s="69">
        <v>1.4810000000000001</v>
      </c>
    </row>
    <row r="161" spans="1:28" x14ac:dyDescent="0.3">
      <c r="A161" s="55" t="s">
        <v>542</v>
      </c>
      <c r="B161" s="57">
        <v>120.23</v>
      </c>
      <c r="C161" s="57">
        <v>20.07</v>
      </c>
      <c r="D161" s="57">
        <v>20.07</v>
      </c>
      <c r="E161" s="57">
        <v>25.29</v>
      </c>
      <c r="F161" s="57">
        <v>10.11</v>
      </c>
      <c r="G161" s="57">
        <v>122.26</v>
      </c>
      <c r="H161" s="57">
        <v>25</v>
      </c>
      <c r="I161" s="57">
        <v>59.9</v>
      </c>
      <c r="J161" s="58">
        <v>1.8680000000000001</v>
      </c>
      <c r="L161" s="60" t="s">
        <v>541</v>
      </c>
      <c r="M161" s="61">
        <v>137.1</v>
      </c>
      <c r="N161" s="61">
        <v>21.5</v>
      </c>
      <c r="O161" s="61">
        <v>27.81</v>
      </c>
      <c r="P161" s="61">
        <v>11.12</v>
      </c>
      <c r="Q161" s="61">
        <v>122.26</v>
      </c>
      <c r="R161" s="62">
        <v>2.093</v>
      </c>
      <c r="T161" s="66" t="s">
        <v>541</v>
      </c>
      <c r="U161" s="67">
        <v>137.1</v>
      </c>
      <c r="V161" s="67">
        <v>21.5</v>
      </c>
      <c r="W161" s="67">
        <v>27.81</v>
      </c>
      <c r="X161" s="67">
        <v>11.12</v>
      </c>
      <c r="Y161" s="67">
        <v>122.26</v>
      </c>
      <c r="Z161" s="67">
        <v>25</v>
      </c>
      <c r="AA161" s="67">
        <v>63.8</v>
      </c>
      <c r="AB161" s="69">
        <v>2.093</v>
      </c>
    </row>
    <row r="162" spans="1:28" x14ac:dyDescent="0.3">
      <c r="A162" s="56" t="s">
        <v>543</v>
      </c>
      <c r="B162" s="57">
        <v>91.13</v>
      </c>
      <c r="C162" s="57">
        <v>16.57</v>
      </c>
      <c r="D162" s="57">
        <v>16.57</v>
      </c>
      <c r="E162" s="57">
        <v>84.92</v>
      </c>
      <c r="F162" s="57">
        <v>15.66</v>
      </c>
      <c r="G162" s="57">
        <v>122.26</v>
      </c>
      <c r="H162" s="57"/>
      <c r="I162" s="57"/>
      <c r="J162" s="58">
        <v>2.5499999999999998</v>
      </c>
      <c r="L162" s="60" t="s">
        <v>542</v>
      </c>
      <c r="M162" s="61">
        <v>120.23</v>
      </c>
      <c r="N162" s="61">
        <v>20.07</v>
      </c>
      <c r="O162" s="61">
        <v>25.29</v>
      </c>
      <c r="P162" s="61">
        <v>10.11</v>
      </c>
      <c r="Q162" s="61">
        <v>122.26</v>
      </c>
      <c r="R162" s="62">
        <v>1.8680000000000001</v>
      </c>
      <c r="T162" s="66" t="s">
        <v>542</v>
      </c>
      <c r="U162" s="67">
        <v>120.23</v>
      </c>
      <c r="V162" s="67">
        <v>20.07</v>
      </c>
      <c r="W162" s="67">
        <v>25.29</v>
      </c>
      <c r="X162" s="67">
        <v>10.11</v>
      </c>
      <c r="Y162" s="67">
        <v>122.26</v>
      </c>
      <c r="Z162" s="67">
        <v>25</v>
      </c>
      <c r="AA162" s="67">
        <v>59.9</v>
      </c>
      <c r="AB162" s="69">
        <v>1.8680000000000001</v>
      </c>
    </row>
    <row r="163" spans="1:28" x14ac:dyDescent="0.3">
      <c r="A163" s="66" t="s">
        <v>551</v>
      </c>
      <c r="B163" s="67"/>
      <c r="C163" s="67"/>
      <c r="D163" s="67"/>
      <c r="E163" s="67"/>
      <c r="F163" s="67"/>
      <c r="G163" s="67"/>
      <c r="H163" s="173"/>
      <c r="I163" s="173"/>
      <c r="J163" s="174"/>
    </row>
    <row r="164" spans="1:28" x14ac:dyDescent="0.3">
      <c r="A164" s="63" t="s">
        <v>722</v>
      </c>
      <c r="B164" s="67">
        <v>42.412999999999997</v>
      </c>
      <c r="C164" s="67">
        <v>10.911</v>
      </c>
      <c r="D164" s="67">
        <v>10.911</v>
      </c>
      <c r="E164" s="67">
        <v>22.42</v>
      </c>
      <c r="F164" s="67">
        <v>8.9280000000000008</v>
      </c>
      <c r="G164" s="67">
        <v>134.80000000000001</v>
      </c>
      <c r="H164" s="67"/>
      <c r="I164" s="67"/>
      <c r="J164" s="69">
        <v>3.04</v>
      </c>
    </row>
    <row r="165" spans="1:28" x14ac:dyDescent="0.3">
      <c r="A165" s="63" t="s">
        <v>723</v>
      </c>
      <c r="B165" s="67">
        <v>40.406999999999996</v>
      </c>
      <c r="C165" s="67">
        <v>10.413</v>
      </c>
      <c r="D165" s="67">
        <v>10.413</v>
      </c>
      <c r="E165" s="67">
        <v>19.952000000000002</v>
      </c>
      <c r="F165" s="67">
        <v>7.9729999999999999</v>
      </c>
      <c r="G165" s="67">
        <v>134.80000000000001</v>
      </c>
      <c r="H165" s="67"/>
      <c r="I165" s="67"/>
      <c r="J165" s="69">
        <v>2.8620000000000001</v>
      </c>
    </row>
    <row r="166" spans="1:28" x14ac:dyDescent="0.3">
      <c r="A166" s="63" t="s">
        <v>724</v>
      </c>
      <c r="B166" s="67">
        <v>120.59699999999999</v>
      </c>
      <c r="C166" s="67">
        <v>21.753</v>
      </c>
      <c r="D166" s="67">
        <v>21.753</v>
      </c>
      <c r="E166" s="67">
        <v>33.404000000000003</v>
      </c>
      <c r="F166" s="67">
        <v>13.362</v>
      </c>
      <c r="G166" s="67">
        <v>122.26</v>
      </c>
      <c r="H166" s="67"/>
      <c r="I166" s="67"/>
      <c r="J166" s="69">
        <v>3.5609999999999999</v>
      </c>
    </row>
    <row r="167" spans="1:28" x14ac:dyDescent="0.3">
      <c r="A167" s="63" t="s">
        <v>725</v>
      </c>
      <c r="B167" s="67">
        <v>109.36499999999999</v>
      </c>
      <c r="C167" s="67">
        <v>20.189</v>
      </c>
      <c r="D167" s="67">
        <v>20.189</v>
      </c>
      <c r="E167" s="67">
        <v>30.658999999999999</v>
      </c>
      <c r="F167" s="67">
        <v>12.263</v>
      </c>
      <c r="G167" s="67">
        <v>122.26</v>
      </c>
      <c r="H167" s="67"/>
      <c r="I167" s="67"/>
      <c r="J167" s="69">
        <v>3.3149999999999999</v>
      </c>
    </row>
    <row r="168" spans="1:28" x14ac:dyDescent="0.3">
      <c r="A168" s="63" t="s">
        <v>726</v>
      </c>
      <c r="B168" s="67">
        <v>104.345</v>
      </c>
      <c r="C168" s="67">
        <v>19.338999999999999</v>
      </c>
      <c r="D168" s="67">
        <v>19.338999999999999</v>
      </c>
      <c r="E168" s="67">
        <v>28.837</v>
      </c>
      <c r="F168" s="67">
        <v>11.535</v>
      </c>
      <c r="G168" s="67">
        <v>122.26</v>
      </c>
      <c r="H168" s="67"/>
      <c r="I168" s="67"/>
      <c r="J168" s="69">
        <v>3.1720000000000002</v>
      </c>
    </row>
    <row r="169" spans="1:28" x14ac:dyDescent="0.3">
      <c r="A169" s="63" t="s">
        <v>727</v>
      </c>
      <c r="B169" s="67">
        <v>213.50800000000001</v>
      </c>
      <c r="C169" s="67">
        <v>32.228000000000002</v>
      </c>
      <c r="D169" s="67">
        <v>32.228000000000002</v>
      </c>
      <c r="E169" s="67">
        <v>40.348999999999997</v>
      </c>
      <c r="F169" s="67">
        <v>16.138999999999999</v>
      </c>
      <c r="G169" s="67">
        <v>122.26</v>
      </c>
      <c r="H169" s="67"/>
      <c r="I169" s="67"/>
      <c r="J169" s="69">
        <v>4.1529999999999996</v>
      </c>
    </row>
    <row r="170" spans="1:28" x14ac:dyDescent="0.3">
      <c r="A170" s="63" t="s">
        <v>728</v>
      </c>
      <c r="B170" s="67">
        <v>198.34899999999999</v>
      </c>
      <c r="C170" s="67">
        <v>30.762</v>
      </c>
      <c r="D170" s="67">
        <v>30.762</v>
      </c>
      <c r="E170" s="67">
        <v>37.826999999999998</v>
      </c>
      <c r="F170" s="67">
        <v>15.13</v>
      </c>
      <c r="G170" s="67">
        <v>122.26</v>
      </c>
      <c r="H170" s="67"/>
      <c r="I170" s="67"/>
      <c r="J170" s="69">
        <v>3.9279999999999999</v>
      </c>
    </row>
    <row r="171" spans="1:28" x14ac:dyDescent="0.3">
      <c r="A171"/>
      <c r="B171"/>
      <c r="C171"/>
      <c r="D171"/>
      <c r="E171"/>
      <c r="F171"/>
      <c r="G171"/>
      <c r="H171"/>
      <c r="I171"/>
      <c r="J171"/>
    </row>
  </sheetData>
  <sheetProtection autoFilter="0" pivotTables="0"/>
  <pageMargins left="0.7" right="0.7" top="0.75" bottom="0.75" header="0.3" footer="0.3"/>
  <pageSetup paperSize="9" orientation="portrait"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zoomScale="85" zoomScaleNormal="100" zoomScaleSheetLayoutView="100" zoomScalePageLayoutView="85" workbookViewId="0">
      <selection activeCell="L4" sqref="L4"/>
    </sheetView>
  </sheetViews>
  <sheetFormatPr defaultRowHeight="15" x14ac:dyDescent="0.25"/>
  <cols>
    <col min="1" max="1" width="10.140625" style="1" customWidth="1"/>
    <col min="2" max="2" width="12.42578125" style="1" bestFit="1" customWidth="1"/>
    <col min="3" max="3" width="9.140625" style="1"/>
    <col min="4" max="10" width="8.5703125" style="1" customWidth="1"/>
    <col min="11" max="11" width="17" style="1" bestFit="1" customWidth="1"/>
    <col min="12" max="12" width="23" style="1" customWidth="1"/>
    <col min="13" max="13" width="14.5703125" style="1" customWidth="1"/>
    <col min="14" max="14" width="2.5703125" style="1" customWidth="1"/>
    <col min="15" max="16384" width="9.140625" style="1"/>
  </cols>
  <sheetData>
    <row r="1" spans="1:13" ht="14.25" customHeight="1" x14ac:dyDescent="0.25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x14ac:dyDescent="0.25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3" t="s">
        <v>5</v>
      </c>
      <c r="L2" s="164"/>
      <c r="M2" s="162"/>
    </row>
    <row r="3" spans="1:13" x14ac:dyDescent="0.25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3" t="s">
        <v>0</v>
      </c>
      <c r="L3" s="164"/>
      <c r="M3" s="162"/>
    </row>
    <row r="4" spans="1:13" x14ac:dyDescent="0.25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3" t="s">
        <v>1</v>
      </c>
      <c r="L4" s="165" t="s">
        <v>689</v>
      </c>
      <c r="M4" s="162"/>
    </row>
    <row r="5" spans="1:13" x14ac:dyDescent="0.25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3" t="s">
        <v>2</v>
      </c>
      <c r="L5" s="167" t="s">
        <v>690</v>
      </c>
      <c r="M5" s="162"/>
    </row>
    <row r="6" spans="1:13" x14ac:dyDescent="0.2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3" t="s">
        <v>3</v>
      </c>
      <c r="L6" s="166">
        <f ca="1">TODAY()</f>
        <v>46288</v>
      </c>
      <c r="M6" s="162"/>
    </row>
    <row r="7" spans="1:13" x14ac:dyDescent="0.25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spans="1:13" x14ac:dyDescent="0.25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</row>
    <row r="9" spans="1:13" x14ac:dyDescent="0.25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</row>
    <row r="10" spans="1:13" x14ac:dyDescent="0.25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</row>
    <row r="11" spans="1:13" x14ac:dyDescent="0.25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</row>
    <row r="12" spans="1:13" x14ac:dyDescent="0.25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3" x14ac:dyDescent="0.2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</row>
    <row r="14" spans="1:13" x14ac:dyDescent="0.25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</row>
    <row r="15" spans="1:13" x14ac:dyDescent="0.25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</row>
    <row r="16" spans="1:13" x14ac:dyDescent="0.25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</row>
    <row r="17" spans="1:13" x14ac:dyDescent="0.25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</row>
    <row r="18" spans="1:13" x14ac:dyDescent="0.25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</row>
    <row r="19" spans="1:13" x14ac:dyDescent="0.25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</row>
    <row r="20" spans="1:13" ht="24" customHeight="1" x14ac:dyDescent="0.25">
      <c r="A20" s="162"/>
      <c r="B20" s="176" t="s">
        <v>4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62"/>
    </row>
    <row r="21" spans="1:13" x14ac:dyDescent="0.25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</row>
    <row r="22" spans="1:13" x14ac:dyDescent="0.25">
      <c r="A22" s="162"/>
      <c r="B22" s="162" t="s">
        <v>6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</row>
    <row r="23" spans="1:13" x14ac:dyDescent="0.25">
      <c r="A23" s="162"/>
      <c r="B23" s="162" t="s">
        <v>9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</row>
    <row r="24" spans="1:13" x14ac:dyDescent="0.25">
      <c r="A24" s="162"/>
      <c r="B24" s="162" t="s">
        <v>7</v>
      </c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</row>
    <row r="25" spans="1:13" x14ac:dyDescent="0.25">
      <c r="A25" s="162"/>
      <c r="B25" s="162" t="s">
        <v>8</v>
      </c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x14ac:dyDescent="0.25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</row>
    <row r="29" spans="1:13" x14ac:dyDescent="0.25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</row>
    <row r="30" spans="1:13" x14ac:dyDescent="0.25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</row>
    <row r="31" spans="1:13" x14ac:dyDescent="0.25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</row>
    <row r="32" spans="1:13" x14ac:dyDescent="0.2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</row>
    <row r="33" spans="1:13" x14ac:dyDescent="0.25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</row>
    <row r="34" spans="1:13" x14ac:dyDescent="0.25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</row>
    <row r="35" spans="1:13" x14ac:dyDescent="0.2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</row>
    <row r="36" spans="1:13" ht="51" customHeight="1" x14ac:dyDescent="0.25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</row>
    <row r="37" spans="1:13" ht="29.25" customHeight="1" x14ac:dyDescent="0.25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</sheetData>
  <sheetProtection password="C737" sheet="1" objects="1" scenarios="1"/>
  <mergeCells count="1">
    <mergeCell ref="B20:L20"/>
  </mergeCells>
  <hyperlinks>
    <hyperlink ref="L5" r:id="rId1"/>
  </hyperlinks>
  <pageMargins left="0" right="0" top="0" bottom="0" header="0.31496062992125984" footer="0.31496062992125984"/>
  <pageSetup paperSize="9" fitToWidth="0" fitToHeight="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Layout" zoomScale="70" zoomScaleNormal="100" zoomScaleSheetLayoutView="160" zoomScalePageLayoutView="70" workbookViewId="0">
      <selection activeCell="B18" sqref="B18:G21"/>
    </sheetView>
  </sheetViews>
  <sheetFormatPr defaultRowHeight="16.5" x14ac:dyDescent="0.3"/>
  <cols>
    <col min="1" max="1" width="10.140625" style="2" customWidth="1"/>
    <col min="2" max="2" width="8.42578125" style="2" customWidth="1"/>
    <col min="3" max="3" width="22.5703125" style="2" customWidth="1"/>
    <col min="4" max="4" width="15.28515625" style="2" bestFit="1" customWidth="1"/>
    <col min="5" max="5" width="5.28515625" style="2" customWidth="1"/>
    <col min="6" max="6" width="9.42578125" style="2" customWidth="1"/>
    <col min="7" max="7" width="9.140625" style="2"/>
    <col min="8" max="8" width="2.7109375" style="38" customWidth="1"/>
    <col min="9" max="9" width="33.28515625" style="2" customWidth="1"/>
    <col min="10" max="10" width="15.28515625" style="2" bestFit="1" customWidth="1"/>
    <col min="11" max="11" width="14.85546875" style="2" customWidth="1"/>
    <col min="12" max="12" width="2.42578125" style="2" customWidth="1"/>
    <col min="13" max="16384" width="9.140625" style="2"/>
  </cols>
  <sheetData>
    <row r="1" spans="1:11" ht="13.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8.75" x14ac:dyDescent="0.3">
      <c r="A2" s="74"/>
      <c r="B2" s="76" t="s">
        <v>177</v>
      </c>
      <c r="C2" s="74"/>
      <c r="D2" s="74"/>
      <c r="E2" s="74"/>
      <c r="F2" s="74"/>
      <c r="G2" s="74"/>
      <c r="H2" s="74"/>
      <c r="I2" s="76" t="s">
        <v>184</v>
      </c>
      <c r="J2" s="74"/>
      <c r="K2" s="74"/>
    </row>
    <row r="3" spans="1:11" x14ac:dyDescent="0.3">
      <c r="A3" s="74"/>
      <c r="B3" s="74" t="s">
        <v>178</v>
      </c>
      <c r="C3" s="74" t="s">
        <v>179</v>
      </c>
      <c r="D3" s="74" t="s">
        <v>180</v>
      </c>
      <c r="E3" s="74"/>
      <c r="F3" s="74"/>
      <c r="G3" s="74"/>
      <c r="H3" s="74"/>
      <c r="I3" s="74" t="s">
        <v>179</v>
      </c>
      <c r="J3" s="74" t="s">
        <v>186</v>
      </c>
      <c r="K3" s="74"/>
    </row>
    <row r="4" spans="1:11" x14ac:dyDescent="0.3">
      <c r="A4" s="74"/>
      <c r="B4" s="127">
        <v>3</v>
      </c>
      <c r="C4" s="74" t="s">
        <v>193</v>
      </c>
      <c r="D4" s="74"/>
      <c r="E4" s="74"/>
      <c r="F4" s="74"/>
      <c r="G4" s="74"/>
      <c r="H4" s="74"/>
      <c r="I4" s="74"/>
      <c r="J4" s="74"/>
      <c r="K4" s="74"/>
    </row>
    <row r="5" spans="1:11" x14ac:dyDescent="0.3">
      <c r="A5" s="74"/>
      <c r="B5" s="127">
        <v>4</v>
      </c>
      <c r="C5" s="74" t="s">
        <v>255</v>
      </c>
      <c r="D5" s="74"/>
      <c r="E5" s="74"/>
      <c r="F5" s="74"/>
      <c r="G5" s="74"/>
      <c r="H5" s="74"/>
      <c r="I5" s="127"/>
      <c r="J5" s="74"/>
      <c r="K5" s="74"/>
    </row>
    <row r="6" spans="1:11" x14ac:dyDescent="0.3">
      <c r="A6" s="74"/>
      <c r="B6" s="127">
        <v>5</v>
      </c>
      <c r="C6" s="74" t="s">
        <v>255</v>
      </c>
      <c r="D6" s="74"/>
      <c r="E6" s="74"/>
      <c r="F6" s="74"/>
      <c r="G6" s="74"/>
      <c r="H6" s="74"/>
      <c r="I6" s="127"/>
      <c r="J6" s="74"/>
      <c r="K6" s="74"/>
    </row>
    <row r="7" spans="1:11" x14ac:dyDescent="0.3">
      <c r="A7" s="74"/>
      <c r="B7" s="127">
        <v>6</v>
      </c>
      <c r="C7" s="74" t="s">
        <v>300</v>
      </c>
      <c r="D7" s="74"/>
      <c r="E7" s="74"/>
      <c r="F7" s="74"/>
      <c r="G7" s="74"/>
      <c r="H7" s="74"/>
      <c r="I7" s="127"/>
      <c r="J7" s="74"/>
      <c r="K7" s="74"/>
    </row>
    <row r="8" spans="1:11" x14ac:dyDescent="0.3">
      <c r="A8" s="74"/>
      <c r="B8" s="127">
        <v>7</v>
      </c>
      <c r="C8" s="74" t="s">
        <v>300</v>
      </c>
      <c r="D8" s="74"/>
      <c r="E8" s="74"/>
      <c r="F8" s="74"/>
      <c r="G8" s="74"/>
      <c r="H8" s="74"/>
      <c r="I8" s="127"/>
      <c r="J8" s="74"/>
      <c r="K8" s="74"/>
    </row>
    <row r="9" spans="1:11" x14ac:dyDescent="0.3">
      <c r="A9" s="74"/>
      <c r="B9" s="127">
        <v>8</v>
      </c>
      <c r="C9" s="74" t="s">
        <v>361</v>
      </c>
      <c r="D9" s="74"/>
      <c r="E9" s="74"/>
      <c r="F9" s="74"/>
      <c r="G9" s="74"/>
      <c r="H9" s="74"/>
      <c r="I9" s="127"/>
      <c r="J9" s="74"/>
      <c r="K9" s="74"/>
    </row>
    <row r="10" spans="1:11" x14ac:dyDescent="0.3">
      <c r="A10" s="74"/>
      <c r="B10" s="127">
        <v>9</v>
      </c>
      <c r="C10" s="74" t="s">
        <v>361</v>
      </c>
      <c r="D10" s="74"/>
      <c r="E10" s="74"/>
      <c r="F10" s="74"/>
      <c r="G10" s="74"/>
      <c r="H10" s="74"/>
      <c r="I10" s="127"/>
      <c r="J10" s="74"/>
      <c r="K10" s="74"/>
    </row>
    <row r="11" spans="1:11" x14ac:dyDescent="0.3">
      <c r="A11" s="74"/>
      <c r="B11" s="127">
        <v>10</v>
      </c>
      <c r="C11" s="74" t="s">
        <v>416</v>
      </c>
      <c r="D11" s="74"/>
      <c r="E11" s="74"/>
      <c r="F11" s="74"/>
      <c r="G11" s="74"/>
      <c r="H11" s="74"/>
      <c r="I11" s="127"/>
      <c r="J11" s="74"/>
      <c r="K11" s="74"/>
    </row>
    <row r="12" spans="1:1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</row>
    <row r="13" spans="1:11" ht="18.75" x14ac:dyDescent="0.3">
      <c r="A13" s="74"/>
      <c r="B13" s="76" t="s">
        <v>181</v>
      </c>
      <c r="C13" s="74"/>
      <c r="D13" s="74"/>
      <c r="E13" s="74"/>
      <c r="F13" s="74"/>
      <c r="G13" s="74"/>
      <c r="H13" s="74"/>
      <c r="I13" s="76" t="s">
        <v>185</v>
      </c>
      <c r="J13" s="74"/>
      <c r="K13" s="74"/>
    </row>
    <row r="14" spans="1:11" x14ac:dyDescent="0.3">
      <c r="A14" s="74"/>
      <c r="B14" s="155" t="s">
        <v>182</v>
      </c>
      <c r="C14" s="74"/>
      <c r="D14" s="74"/>
      <c r="E14" s="74"/>
      <c r="F14" s="74"/>
      <c r="G14" s="74"/>
      <c r="H14" s="74"/>
      <c r="I14" s="74" t="s">
        <v>179</v>
      </c>
      <c r="J14" s="74" t="s">
        <v>186</v>
      </c>
      <c r="K14" s="74"/>
    </row>
    <row r="15" spans="1:11" ht="33" customHeight="1" x14ac:dyDescent="0.3">
      <c r="A15" s="74"/>
      <c r="B15" s="177" t="s">
        <v>183</v>
      </c>
      <c r="C15" s="177"/>
      <c r="D15" s="177"/>
      <c r="E15" s="177"/>
      <c r="F15" s="177"/>
      <c r="G15" s="177"/>
      <c r="H15" s="156"/>
      <c r="I15" s="157" t="s">
        <v>187</v>
      </c>
      <c r="J15" s="102" t="s">
        <v>190</v>
      </c>
      <c r="K15" s="74"/>
    </row>
    <row r="16" spans="1:11" ht="33" x14ac:dyDescent="0.3">
      <c r="A16" s="74"/>
      <c r="B16" s="177"/>
      <c r="C16" s="177"/>
      <c r="D16" s="177"/>
      <c r="E16" s="177"/>
      <c r="F16" s="177"/>
      <c r="G16" s="177"/>
      <c r="H16" s="156"/>
      <c r="I16" s="157" t="s">
        <v>188</v>
      </c>
      <c r="J16" s="102" t="s">
        <v>191</v>
      </c>
      <c r="K16" s="74"/>
    </row>
    <row r="17" spans="1:11" ht="82.5" x14ac:dyDescent="0.3">
      <c r="A17" s="74"/>
      <c r="B17" s="177"/>
      <c r="C17" s="177"/>
      <c r="D17" s="177"/>
      <c r="E17" s="177"/>
      <c r="F17" s="177"/>
      <c r="G17" s="177"/>
      <c r="H17" s="156"/>
      <c r="I17" s="157" t="s">
        <v>189</v>
      </c>
      <c r="J17" s="102" t="s">
        <v>192</v>
      </c>
      <c r="K17" s="74"/>
    </row>
    <row r="18" spans="1:11" ht="82.5" customHeight="1" x14ac:dyDescent="0.3">
      <c r="A18" s="74"/>
      <c r="B18" s="178" t="s">
        <v>493</v>
      </c>
      <c r="C18" s="178"/>
      <c r="D18" s="178"/>
      <c r="E18" s="178"/>
      <c r="F18" s="178"/>
      <c r="G18" s="178"/>
      <c r="H18" s="158"/>
      <c r="I18" s="157" t="s">
        <v>646</v>
      </c>
      <c r="J18" s="102" t="s">
        <v>490</v>
      </c>
      <c r="K18" s="74"/>
    </row>
    <row r="19" spans="1:11" s="38" customFormat="1" ht="16.5" customHeight="1" x14ac:dyDescent="0.3">
      <c r="A19" s="74"/>
      <c r="B19" s="178"/>
      <c r="C19" s="178"/>
      <c r="D19" s="178"/>
      <c r="E19" s="178"/>
      <c r="F19" s="178"/>
      <c r="G19" s="178"/>
      <c r="H19" s="158"/>
      <c r="I19" s="159"/>
      <c r="J19" s="102"/>
      <c r="K19" s="74"/>
    </row>
    <row r="20" spans="1:11" x14ac:dyDescent="0.3">
      <c r="A20" s="74"/>
      <c r="B20" s="178"/>
      <c r="C20" s="178"/>
      <c r="D20" s="178"/>
      <c r="E20" s="178"/>
      <c r="F20" s="178"/>
      <c r="G20" s="178"/>
      <c r="H20" s="158"/>
      <c r="I20" s="74"/>
      <c r="J20" s="74"/>
      <c r="K20" s="74"/>
    </row>
    <row r="21" spans="1:11" ht="16.5" customHeight="1" x14ac:dyDescent="0.3">
      <c r="A21" s="74"/>
      <c r="B21" s="178"/>
      <c r="C21" s="178"/>
      <c r="D21" s="178"/>
      <c r="E21" s="178"/>
      <c r="F21" s="178"/>
      <c r="G21" s="178"/>
      <c r="H21" s="158"/>
      <c r="I21" s="74"/>
      <c r="J21" s="74"/>
      <c r="K21" s="74"/>
    </row>
    <row r="22" spans="1:11" x14ac:dyDescent="0.3">
      <c r="A22" s="74"/>
      <c r="B22" s="160"/>
      <c r="C22" s="160"/>
      <c r="D22" s="160"/>
      <c r="E22" s="160"/>
      <c r="F22" s="160"/>
      <c r="G22" s="160"/>
      <c r="H22" s="160"/>
      <c r="I22" s="74"/>
      <c r="J22" s="74"/>
      <c r="K22" s="74"/>
    </row>
    <row r="23" spans="1:11" x14ac:dyDescent="0.3">
      <c r="A23" s="74"/>
      <c r="B23" s="160"/>
      <c r="C23" s="160"/>
      <c r="D23" s="160"/>
      <c r="E23" s="160"/>
      <c r="F23" s="160"/>
      <c r="G23" s="160"/>
      <c r="H23" s="160"/>
      <c r="I23" s="74"/>
      <c r="J23" s="74"/>
      <c r="K23" s="74"/>
    </row>
    <row r="24" spans="1:11" x14ac:dyDescent="0.3">
      <c r="A24" s="74"/>
      <c r="B24" s="160"/>
      <c r="C24" s="160"/>
      <c r="D24" s="160"/>
      <c r="E24" s="160"/>
      <c r="F24" s="160"/>
      <c r="G24" s="160"/>
      <c r="H24" s="160"/>
      <c r="I24" s="74"/>
      <c r="J24" s="74"/>
      <c r="K24" s="74"/>
    </row>
    <row r="25" spans="1:11" ht="21.75" customHeight="1" x14ac:dyDescent="0.3">
      <c r="A25" s="74"/>
      <c r="B25" s="161"/>
      <c r="C25" s="161"/>
      <c r="D25" s="161"/>
      <c r="E25" s="161"/>
      <c r="F25" s="161"/>
      <c r="G25" s="74"/>
      <c r="H25" s="74"/>
      <c r="I25" s="74"/>
      <c r="J25" s="74"/>
      <c r="K25" s="96" t="str">
        <f ca="1">MID(CELL("имяфайла",L24),SEARCH("]",CELL("имяфайла",L24))+1,255)&amp;"/10"</f>
        <v>2/10</v>
      </c>
    </row>
    <row r="26" spans="1:11" ht="30" customHeight="1" x14ac:dyDescent="0.3">
      <c r="B26" s="28"/>
      <c r="C26" s="28"/>
      <c r="D26" s="28"/>
      <c r="E26" s="28"/>
      <c r="F26" s="28"/>
      <c r="G26" s="28"/>
      <c r="H26" s="28"/>
      <c r="I26" s="28"/>
      <c r="J26" s="28"/>
      <c r="K26" s="24"/>
    </row>
  </sheetData>
  <sheetProtection password="C737" sheet="1" objects="1" scenarios="1"/>
  <protectedRanges>
    <protectedRange sqref="I3:J5" name="Диапазон3"/>
  </protectedRanges>
  <mergeCells count="2">
    <mergeCell ref="B15:G17"/>
    <mergeCell ref="B18:G21"/>
  </mergeCells>
  <pageMargins left="0" right="0" top="0" bottom="0" header="0.31496062992125984" footer="0.31496062992125984"/>
  <pageSetup paperSize="9" fitToWidth="0" fitToHeight="0" orientation="landscape" r:id="rId1"/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5"/>
  <sheetViews>
    <sheetView tabSelected="1" view="pageLayout" zoomScaleNormal="100" workbookViewId="0">
      <selection activeCell="E10" sqref="E10"/>
    </sheetView>
  </sheetViews>
  <sheetFormatPr defaultRowHeight="16.5" x14ac:dyDescent="0.3"/>
  <cols>
    <col min="1" max="1" width="10.140625" style="2" customWidth="1"/>
    <col min="2" max="2" width="41.42578125" style="2" customWidth="1"/>
    <col min="3" max="3" width="27.85546875" style="2" customWidth="1"/>
    <col min="4" max="4" width="2.7109375" customWidth="1"/>
    <col min="5" max="11" width="8.5703125" style="2" customWidth="1"/>
    <col min="12" max="12" width="4.28515625" style="38" customWidth="1"/>
    <col min="13" max="13" width="2.42578125" style="2" customWidth="1"/>
    <col min="14" max="16384" width="9.140625" style="2"/>
  </cols>
  <sheetData>
    <row r="1" spans="1:16" ht="13.5" customHeight="1" x14ac:dyDescent="0.3">
      <c r="A1" s="74"/>
      <c r="B1" s="74"/>
      <c r="C1" s="74"/>
      <c r="D1" s="75"/>
      <c r="E1" s="74"/>
      <c r="F1" s="74"/>
      <c r="G1" s="74"/>
      <c r="H1" s="74"/>
      <c r="I1" s="74"/>
      <c r="J1" s="74"/>
      <c r="K1" s="74"/>
    </row>
    <row r="2" spans="1:16" ht="18.75" x14ac:dyDescent="0.3">
      <c r="A2" s="74"/>
      <c r="B2" s="76" t="s">
        <v>193</v>
      </c>
      <c r="C2" s="74"/>
      <c r="D2" s="75"/>
      <c r="E2" s="74"/>
      <c r="F2" s="74"/>
      <c r="G2" s="74"/>
      <c r="H2" s="74"/>
      <c r="I2" s="74"/>
      <c r="J2" s="74"/>
      <c r="K2" s="74"/>
    </row>
    <row r="3" spans="1:16" x14ac:dyDescent="0.3">
      <c r="A3" s="74"/>
      <c r="B3" s="77" t="s">
        <v>195</v>
      </c>
      <c r="C3" s="74"/>
      <c r="D3" s="75"/>
      <c r="E3" s="74"/>
      <c r="F3" s="74"/>
      <c r="G3" s="74"/>
      <c r="H3" s="74"/>
      <c r="I3" s="74"/>
      <c r="J3" s="74"/>
      <c r="K3" s="74"/>
      <c r="O3" s="30"/>
      <c r="P3" s="2" t="s">
        <v>237</v>
      </c>
    </row>
    <row r="4" spans="1:16" x14ac:dyDescent="0.3">
      <c r="A4" s="74"/>
      <c r="B4" s="78" t="s">
        <v>10</v>
      </c>
      <c r="C4" s="79" t="s">
        <v>79</v>
      </c>
      <c r="D4" s="75"/>
      <c r="E4" s="74"/>
      <c r="F4" s="74"/>
      <c r="G4" s="74"/>
      <c r="H4" s="74"/>
      <c r="I4" s="74"/>
      <c r="J4" s="74"/>
      <c r="K4" s="74"/>
      <c r="O4" s="31"/>
      <c r="P4" s="2" t="s">
        <v>238</v>
      </c>
    </row>
    <row r="5" spans="1:16" x14ac:dyDescent="0.3">
      <c r="A5" s="74"/>
      <c r="B5" s="78" t="s">
        <v>194</v>
      </c>
      <c r="C5" s="79" t="s">
        <v>225</v>
      </c>
      <c r="D5" s="74" t="s">
        <v>239</v>
      </c>
      <c r="E5" s="74"/>
      <c r="F5" s="74"/>
      <c r="G5" s="74"/>
      <c r="H5" s="74"/>
      <c r="I5" s="74"/>
      <c r="J5" s="74"/>
      <c r="K5" s="74"/>
    </row>
    <row r="6" spans="1:16" x14ac:dyDescent="0.3">
      <c r="A6" s="74"/>
      <c r="B6" s="78" t="s">
        <v>200</v>
      </c>
      <c r="C6" s="80">
        <v>15</v>
      </c>
      <c r="D6" s="74" t="s">
        <v>409</v>
      </c>
      <c r="E6" s="74"/>
      <c r="F6" s="74"/>
      <c r="G6" s="74"/>
      <c r="H6" s="74"/>
      <c r="I6" s="74"/>
      <c r="J6" s="74"/>
      <c r="K6" s="74"/>
    </row>
    <row r="7" spans="1:16" x14ac:dyDescent="0.3">
      <c r="A7" s="74"/>
      <c r="B7" s="78" t="s">
        <v>201</v>
      </c>
      <c r="C7" s="80">
        <v>50</v>
      </c>
      <c r="D7" s="75"/>
      <c r="E7" s="74"/>
      <c r="F7" s="74"/>
      <c r="G7" s="74"/>
      <c r="H7" s="74"/>
      <c r="I7" s="74"/>
      <c r="J7" s="74"/>
      <c r="K7" s="74"/>
    </row>
    <row r="8" spans="1:16" ht="22.5" customHeight="1" x14ac:dyDescent="0.3">
      <c r="A8" s="74"/>
      <c r="B8" s="81" t="s">
        <v>196</v>
      </c>
      <c r="C8" s="82" t="s">
        <v>483</v>
      </c>
      <c r="D8" s="75"/>
      <c r="E8" s="74"/>
      <c r="F8" s="74"/>
      <c r="G8" s="74"/>
      <c r="H8" s="74"/>
      <c r="I8" s="74"/>
      <c r="J8" s="74"/>
      <c r="K8" s="74"/>
    </row>
    <row r="9" spans="1:16" s="38" customFormat="1" x14ac:dyDescent="0.3">
      <c r="A9" s="74"/>
      <c r="B9" s="78" t="s">
        <v>485</v>
      </c>
      <c r="C9" s="82" t="s">
        <v>486</v>
      </c>
      <c r="D9" s="75"/>
      <c r="E9" s="74"/>
      <c r="F9" s="74"/>
      <c r="G9" s="74"/>
      <c r="H9" s="74"/>
      <c r="I9" s="74"/>
      <c r="J9" s="74"/>
      <c r="K9" s="74"/>
    </row>
    <row r="10" spans="1:16" x14ac:dyDescent="0.3">
      <c r="A10" s="74"/>
      <c r="B10" s="78" t="s">
        <v>230</v>
      </c>
      <c r="C10" s="80">
        <v>50</v>
      </c>
      <c r="D10" s="75"/>
      <c r="E10" s="74"/>
      <c r="F10" s="74"/>
      <c r="G10" s="74"/>
      <c r="H10" s="74"/>
      <c r="I10" s="74"/>
      <c r="J10" s="74"/>
      <c r="K10" s="74"/>
    </row>
    <row r="11" spans="1:16" x14ac:dyDescent="0.3">
      <c r="A11" s="74"/>
      <c r="B11" s="78" t="s">
        <v>202</v>
      </c>
      <c r="C11" s="80">
        <v>4</v>
      </c>
      <c r="D11" s="75"/>
      <c r="E11" s="74"/>
      <c r="F11" s="74"/>
      <c r="G11" s="74"/>
      <c r="H11" s="74"/>
      <c r="I11" s="74"/>
      <c r="J11" s="74"/>
      <c r="K11" s="74"/>
    </row>
    <row r="12" spans="1:16" x14ac:dyDescent="0.3">
      <c r="A12" s="74"/>
      <c r="B12" s="78" t="s">
        <v>217</v>
      </c>
      <c r="C12" s="82" t="s">
        <v>233</v>
      </c>
      <c r="D12" s="74" t="s">
        <v>417</v>
      </c>
      <c r="E12" s="74"/>
      <c r="F12" s="74"/>
      <c r="G12" s="74"/>
      <c r="H12" s="74"/>
      <c r="I12" s="74"/>
      <c r="J12" s="74"/>
      <c r="K12" s="74"/>
    </row>
    <row r="13" spans="1:16" ht="22.5" customHeight="1" x14ac:dyDescent="0.3">
      <c r="A13" s="74"/>
      <c r="B13" s="83" t="s">
        <v>197</v>
      </c>
      <c r="C13" s="84"/>
      <c r="D13" s="75"/>
      <c r="E13" s="85" t="s">
        <v>508</v>
      </c>
      <c r="F13" s="85" t="s">
        <v>509</v>
      </c>
      <c r="G13" s="85" t="s">
        <v>510</v>
      </c>
      <c r="H13" s="85" t="s">
        <v>511</v>
      </c>
      <c r="I13" s="85" t="s">
        <v>212</v>
      </c>
      <c r="J13" s="86"/>
      <c r="K13" s="74"/>
    </row>
    <row r="14" spans="1:16" x14ac:dyDescent="0.3">
      <c r="A14" s="74"/>
      <c r="B14" s="78" t="s">
        <v>236</v>
      </c>
      <c r="C14" s="82" t="s">
        <v>430</v>
      </c>
      <c r="D14" s="75"/>
      <c r="E14" s="87">
        <f>IF($C$8="МП-640",IF($B$13="стойка",VLOOKUP($C$14,стойки_МП640_ГХ[],2,FALSE),VLOOKUP($C$14,импосты_МП640_ГХ[],2,FALSE)),IF($C$8="МП-640 v2.0",IF($B$13="стойка",VLOOKUP($C$14,стойки_МП640v2_ГХ[],2,FALSE),VLOOKUP($C$14,импосты_МП640v2_ГХ[],2,FALSE)),IF($C$8="МП-40",VLOOKUP($C$14,МП40_ГХ[],2,FALSE),IF($B$13="стойка",VLOOKUP($C$14,стойки_МП50_ГХ[],2,FALSE),VLOOKUP($C$14,импосты_МП50_ГХ[],2,FALSE)))))</f>
        <v>71.959999999999994</v>
      </c>
      <c r="F14" s="87">
        <f>IF(C15="однопролётная",IF($C$8="МП-640",IF($B$13="стойка",VLOOKUP($C$14,стойки_МП640_ГХ[],3,FALSE),VLOOKUP($C$14,импосты_МП640_ГХ[],3,FALSE)),IF($C$8="МП-640 v2.0",IF($B$13="стойка",VLOOKUP($C$14,стойки_МП640v2_ГХ[],3,FALSE),VLOOKUP($C$14,импосты_МП640v2_ГХ[],3,FALSE)),IF($C$8="МП-40",VLOOKUP($C$14,МП40_ГХ[],3,FALSE),IF($B$13="стойка",VLOOKUP($C$14,стойки_МП50_ГХ[],3,FALSE),VLOOKUP($C$14,импосты_МП50_ГХ[],3,FALSE))))),IF($C$8="МП-640",IF($B$13="стойка",VLOOKUP($C$14,стойки_МП640_ГХ[],4,FALSE),""),IF($C$8="МП-640 v2.0",IF($B$13="стойка",VLOOKUP($C$14,стойки_МП640v2_ГХ[],4,FALSE),""),IF($C$8="МП-40",VLOOKUP($C$14,МП40_ГХ[],4,FALSE),IF($B$13="стойка",VLOOKUP($C$14,стойки_МП50_ГХ[],4,FALSE),"")))))</f>
        <v>12.04</v>
      </c>
      <c r="G14" s="87">
        <f>IF($C$8="МП-640",IF($B$13="стойка",VLOOKUP($C$14,стойки_МП640_ГХ[],5,FALSE),VLOOKUP($C$14,импосты_МП640_ГХ[],4,FALSE)),IF($C$8="МП-640 v2.0",IF($B$13="стойка",VLOOKUP($C$14,стойки_МП640v2_ГХ[],5,FALSE),VLOOKUP($C$14,импосты_МП640v2_ГХ[],4,FALSE)),IF($C$8="МП-40",VLOOKUP($C$14,МП40_ГХ[],5,FALSE),IF($B$13="стойка",VLOOKUP($C$14,стойки_МП50_ГХ[],5,FALSE),VLOOKUP($C$14,импосты_МП50_ГХ[],4,FALSE)))))</f>
        <v>11.52</v>
      </c>
      <c r="H14" s="87">
        <f>IF($C$8="МП-640",IF($B$13="стойка",VLOOKUP($C$14,стойки_МП640_ГХ[],6,FALSE),VLOOKUP($C$14,импосты_МП640_ГХ[],5,FALSE)),IF($C$8="МП-640 v2.0",IF($B$13="стойка",VLOOKUP($C$14,стойки_МП640v2_ГХ[],6,FALSE),VLOOKUP($C$14,импосты_МП640v2_ГХ[],5,FALSE)),IF($C$8="МП-40",VLOOKUP($C$14,МП40_ГХ[],6,FALSE),IF($B$13="стойка",VLOOKUP($C$14,стойки_МП50_ГХ[],6,FALSE),VLOOKUP($C$14,импосты_МП50_ГХ[],5,FALSE)))))</f>
        <v>2.91</v>
      </c>
      <c r="I14" s="87">
        <f>IF($C$8="МП-640",IF($B$13="стойка",VLOOKUP($C$14,стойки_МП640_ГХ[],7,FALSE),VLOOKUP($C$14,импосты_МП640_ГХ[],6,FALSE)),IF($C$8="МП-640 v2.0",IF($B$13="стойка",VLOOKUP($C$14,стойки_МП640v2_ГХ[],7,FALSE),VLOOKUP($C$14,импосты_МП640v2_ГХ[],6,FALSE)),IF($C$8="МП-40",VLOOKUP($C$14,МП40_ГХ[],7,FALSE),IF($B$13="стойка",VLOOKUP($C$14,стойки_МП50_ГХ[],7,FALSE),VLOOKUP($C$14,импосты_МП50_ГХ[],6,FALSE)))))</f>
        <v>134.80000000000001</v>
      </c>
      <c r="J14" s="86"/>
      <c r="K14" s="74"/>
    </row>
    <row r="15" spans="1:16" x14ac:dyDescent="0.3">
      <c r="A15" s="74"/>
      <c r="B15" s="78" t="s">
        <v>198</v>
      </c>
      <c r="C15" s="82" t="s">
        <v>235</v>
      </c>
      <c r="D15" s="74"/>
      <c r="E15" s="88" t="str">
        <f>IF('7'!H27="Не удовлетворяет условию прогиба",'7'!D24,"")</f>
        <v/>
      </c>
      <c r="F15" s="88" t="str">
        <f>IF('6'!G21="Не удовлетворяет условию прочности",'6'!D20,"")</f>
        <v/>
      </c>
      <c r="G15" s="88"/>
      <c r="H15" s="74"/>
      <c r="I15" s="74"/>
      <c r="J15" s="74"/>
      <c r="K15" s="74"/>
    </row>
    <row r="16" spans="1:16" x14ac:dyDescent="0.3">
      <c r="A16" s="74"/>
      <c r="B16" s="78" t="s">
        <v>199</v>
      </c>
      <c r="C16" s="82" t="s">
        <v>242</v>
      </c>
      <c r="D16" s="74" t="str">
        <f>IF(AND(B13="Вертикальный импост",C16="угловая"),"импост не может быть угловой стойкой!!!","")</f>
        <v/>
      </c>
      <c r="E16" s="74"/>
      <c r="F16" s="74"/>
      <c r="G16" s="74"/>
      <c r="H16" s="74"/>
      <c r="I16" s="74"/>
      <c r="J16" s="74"/>
      <c r="K16" s="74"/>
    </row>
    <row r="17" spans="1:12" x14ac:dyDescent="0.3">
      <c r="A17" s="74"/>
      <c r="B17" s="78" t="s">
        <v>410</v>
      </c>
      <c r="C17" s="80">
        <v>2520</v>
      </c>
      <c r="D17" s="74" t="s">
        <v>203</v>
      </c>
      <c r="E17" s="74"/>
      <c r="F17" s="74"/>
      <c r="G17" s="74"/>
      <c r="H17" s="74"/>
      <c r="I17" s="74"/>
      <c r="J17" s="74"/>
      <c r="K17" s="74"/>
    </row>
    <row r="18" spans="1:12" x14ac:dyDescent="0.3">
      <c r="A18" s="74"/>
      <c r="B18" s="78" t="s">
        <v>204</v>
      </c>
      <c r="C18" s="80">
        <v>1500</v>
      </c>
      <c r="D18" s="75"/>
      <c r="E18" s="74"/>
      <c r="F18" s="74"/>
      <c r="G18" s="74"/>
      <c r="H18" s="74"/>
      <c r="I18" s="74"/>
      <c r="J18" s="74"/>
      <c r="K18" s="74"/>
    </row>
    <row r="19" spans="1:12" x14ac:dyDescent="0.3">
      <c r="A19" s="74"/>
      <c r="B19" s="78" t="s">
        <v>205</v>
      </c>
      <c r="C19" s="80">
        <v>1000</v>
      </c>
      <c r="D19" s="75"/>
      <c r="E19" s="74"/>
      <c r="F19" s="74"/>
      <c r="G19" s="74"/>
      <c r="H19" s="74"/>
      <c r="I19" s="74"/>
      <c r="J19" s="74"/>
      <c r="K19" s="74"/>
    </row>
    <row r="20" spans="1:12" x14ac:dyDescent="0.3">
      <c r="A20" s="74"/>
      <c r="B20" s="78" t="s">
        <v>550</v>
      </c>
      <c r="C20" s="80">
        <v>0</v>
      </c>
      <c r="D20" s="75"/>
      <c r="E20" s="74"/>
      <c r="F20" s="74"/>
      <c r="G20" s="74"/>
      <c r="H20" s="74"/>
      <c r="I20" s="74"/>
      <c r="J20" s="74"/>
      <c r="K20" s="74"/>
    </row>
    <row r="21" spans="1:12" ht="22.5" customHeight="1" x14ac:dyDescent="0.3">
      <c r="A21" s="74"/>
      <c r="B21" s="81" t="s">
        <v>213</v>
      </c>
      <c r="C21" s="82" t="s">
        <v>549</v>
      </c>
      <c r="D21" s="75"/>
      <c r="E21" s="85" t="s">
        <v>508</v>
      </c>
      <c r="F21" s="85" t="s">
        <v>509</v>
      </c>
      <c r="G21" s="85" t="s">
        <v>510</v>
      </c>
      <c r="H21" s="85" t="s">
        <v>511</v>
      </c>
      <c r="I21" s="85" t="s">
        <v>212</v>
      </c>
      <c r="J21" s="85" t="s">
        <v>210</v>
      </c>
      <c r="K21" s="85" t="s">
        <v>211</v>
      </c>
      <c r="L21" s="42"/>
    </row>
    <row r="22" spans="1:12" x14ac:dyDescent="0.3">
      <c r="A22" s="74"/>
      <c r="B22" s="78" t="s">
        <v>236</v>
      </c>
      <c r="C22" s="82" t="s">
        <v>434</v>
      </c>
      <c r="D22" s="75"/>
      <c r="E22" s="87">
        <f>IF($C$8="МП-640",VLOOKUP($C$22,ригели_МП640_ГХ[],2,FALSE),IF($C$8="МП-640 v2.0",VLOOKUP($C$22,ригели_МП640v2_ГХ[],2,FALSE),IF($C$8="МП-40",VLOOKUP($C$22,МП40_ГХ[],2,FALSE),VLOOKUP($C$22,ригели_МП50_ГХ[],2,FALSE))))</f>
        <v>76.599999999999994</v>
      </c>
      <c r="F22" s="87">
        <f>IF($C$8="МП-640",VLOOKUP($C$22,ригели_МП640_ГХ[],3,FALSE),IF($C$8="МП-640 v2.0",VLOOKUP($C$22,ригели_МП640v2_ГХ[],3,FALSE),IF($C$8="МП-40",VLOOKUP($C$22,МП40_ГХ[],3,FALSE),VLOOKUP($C$22,ригели_МП50_ГХ[],3,FALSE))))</f>
        <v>12.3</v>
      </c>
      <c r="G22" s="87">
        <f>IF($C$8="МП-640",VLOOKUP($C$22,ригели_МП640_ГХ[],4,FALSE),IF($C$8="МП-640 v2.0",VLOOKUP($C$22,ригели_МП640v2_ГХ[],4,FALSE),IF($C$8="МП-40",VLOOKUP($C$22,МП40_ГХ[],5,FALSE),VLOOKUP($C$22,ригели_МП50_ГХ[],4,FALSE))))</f>
        <v>12.95</v>
      </c>
      <c r="H22" s="87">
        <f>IF($C$8="МП-640",VLOOKUP($C$22,ригели_МП640_ГХ[],5,FALSE),IF($C$8="МП-640 v2.0",VLOOKUP($C$22,ригели_МП640v2_ГХ[],5,FALSE),IF($C$8="МП-40",VLOOKUP($C$22,МП40_ГХ[],6,FALSE),VLOOKUP($C$22,ригели_МП50_ГХ[],5,FALSE))))</f>
        <v>3.18</v>
      </c>
      <c r="I22" s="87">
        <f>IF($C$8="МП-640",VLOOKUP($C$22,ригели_МП640_ГХ[],6,FALSE),IF($C$8="МП-640 v2.0",VLOOKUP($C$22,ригели_МП640v2_ГХ[],6,FALSE),IF($C$8="МП-40",VLOOKUP($C$22,МП40_ГХ[],7,FALSE),VLOOKUP($C$22,ригели_МП50_ГХ[],6,FALSE))))</f>
        <v>134.80000000000001</v>
      </c>
      <c r="J22" s="87">
        <f>IF($C$8="МП-640",VLOOKUP($C$22,ригели_МП640_ГХ[],7,FALSE),IF($C$8="МП-640 v2.0",VLOOKUP($C$22,ригели_МП640v2_ГХ[],7,FALSE),IF($C$8="МП-40",VLOOKUP($C$22,МП40_ГХ[],8,FALSE),VLOOKUP($C$22,ригели_МП50_ГХ[],7,FALSE))))</f>
        <v>40.799999999999997</v>
      </c>
      <c r="K22" s="87">
        <f>IF($C$8="МП-640",VLOOKUP($C$22,ригели_МП640_ГХ[],8,FALSE),IF($C$8="МП-640 v2.0",VLOOKUP($C$22,ригели_МП640v2_ГХ[],8,FALSE),IF($C$8="МП-40",VLOOKUP($C$22,МП40_ГХ[],9,FALSE),VLOOKUP($C$22,ригели_МП50_ГХ[],8,FALSE))))</f>
        <v>61.1</v>
      </c>
      <c r="L22" s="46"/>
    </row>
    <row r="23" spans="1:12" x14ac:dyDescent="0.3">
      <c r="A23" s="74"/>
      <c r="B23" s="78" t="s">
        <v>214</v>
      </c>
      <c r="C23" s="80">
        <v>1500</v>
      </c>
      <c r="D23" s="75"/>
      <c r="E23" s="88" t="str">
        <f>IF('9'!H22="Не удовлетворяет условию прогиба",'9'!D20,"")</f>
        <v/>
      </c>
      <c r="F23" s="88" t="str">
        <f>IF('8'!G29="Не удовлетворяет условию прочности",'8'!F30,"")</f>
        <v/>
      </c>
      <c r="G23" s="89" t="str">
        <f>IF('10'!H17="Не удовлетворяет условию прогиба",'10'!D13,"")</f>
        <v/>
      </c>
      <c r="H23" s="74"/>
      <c r="I23" s="74"/>
      <c r="J23" s="74"/>
      <c r="K23" s="74"/>
    </row>
    <row r="24" spans="1:12" x14ac:dyDescent="0.3">
      <c r="A24" s="74"/>
      <c r="B24" s="78" t="s">
        <v>215</v>
      </c>
      <c r="C24" s="80">
        <v>2300</v>
      </c>
      <c r="D24" s="75"/>
      <c r="E24" s="74"/>
      <c r="F24" s="74"/>
      <c r="G24" s="74"/>
      <c r="H24" s="74"/>
      <c r="I24" s="74"/>
      <c r="J24" s="74"/>
      <c r="K24" s="74"/>
    </row>
    <row r="25" spans="1:12" x14ac:dyDescent="0.3">
      <c r="A25" s="74"/>
      <c r="B25" s="78" t="s">
        <v>216</v>
      </c>
      <c r="C25" s="80">
        <v>1080</v>
      </c>
      <c r="D25" s="75"/>
      <c r="E25" s="74"/>
      <c r="F25" s="74"/>
      <c r="G25" s="74"/>
      <c r="H25" s="74"/>
      <c r="I25" s="74"/>
      <c r="J25" s="74"/>
      <c r="K25" s="74"/>
    </row>
    <row r="26" spans="1:12" x14ac:dyDescent="0.3">
      <c r="A26" s="74"/>
      <c r="B26" s="78" t="s">
        <v>383</v>
      </c>
      <c r="C26" s="90">
        <v>150</v>
      </c>
      <c r="D26" s="74" t="s">
        <v>396</v>
      </c>
      <c r="E26" s="74"/>
      <c r="F26" s="74"/>
      <c r="G26" s="74"/>
      <c r="H26" s="74"/>
      <c r="I26" s="74"/>
      <c r="J26" s="74"/>
      <c r="K26" s="74"/>
    </row>
    <row r="27" spans="1:12" ht="22.5" customHeight="1" x14ac:dyDescent="0.3">
      <c r="A27" s="74"/>
      <c r="B27" s="81" t="s">
        <v>218</v>
      </c>
      <c r="C27" s="84"/>
      <c r="D27" s="75"/>
      <c r="E27" s="74"/>
      <c r="F27" s="74"/>
      <c r="G27" s="74"/>
      <c r="H27" s="74"/>
      <c r="I27" s="74"/>
      <c r="J27" s="74"/>
      <c r="K27" s="74"/>
    </row>
    <row r="28" spans="1:12" x14ac:dyDescent="0.3">
      <c r="A28" s="74"/>
      <c r="B28" s="78" t="s">
        <v>321</v>
      </c>
      <c r="C28" s="80">
        <v>1200</v>
      </c>
      <c r="D28" s="74" t="s">
        <v>320</v>
      </c>
      <c r="E28" s="74"/>
      <c r="F28" s="74"/>
      <c r="G28" s="74"/>
      <c r="H28" s="74"/>
      <c r="I28" s="74"/>
      <c r="J28" s="74"/>
      <c r="K28" s="74"/>
    </row>
    <row r="29" spans="1:12" x14ac:dyDescent="0.3">
      <c r="A29" s="74"/>
      <c r="B29" s="78" t="s">
        <v>219</v>
      </c>
      <c r="C29" s="82" t="s">
        <v>246</v>
      </c>
      <c r="D29" s="74" t="s">
        <v>254</v>
      </c>
      <c r="E29" s="74"/>
      <c r="F29" s="74"/>
      <c r="G29" s="74"/>
      <c r="H29" s="74"/>
      <c r="I29" s="74"/>
      <c r="J29" s="74"/>
      <c r="K29" s="74"/>
    </row>
    <row r="30" spans="1:12" x14ac:dyDescent="0.3">
      <c r="A30" s="74"/>
      <c r="B30" s="78" t="s">
        <v>253</v>
      </c>
      <c r="C30" s="82" t="s">
        <v>251</v>
      </c>
      <c r="D30" s="75"/>
      <c r="E30" s="74"/>
      <c r="F30" s="74"/>
      <c r="G30" s="74"/>
      <c r="H30" s="74"/>
      <c r="I30" s="74"/>
      <c r="J30" s="74"/>
      <c r="K30" s="74"/>
    </row>
    <row r="31" spans="1:12" x14ac:dyDescent="0.3">
      <c r="A31" s="74"/>
      <c r="B31" s="78" t="s">
        <v>220</v>
      </c>
      <c r="C31" s="82" t="s">
        <v>251</v>
      </c>
      <c r="D31" s="91"/>
      <c r="E31" s="91"/>
      <c r="F31" s="91"/>
      <c r="G31" s="91"/>
      <c r="H31" s="91"/>
      <c r="I31" s="91"/>
      <c r="J31" s="91"/>
      <c r="K31" s="91"/>
      <c r="L31" s="23"/>
    </row>
    <row r="32" spans="1:12" x14ac:dyDescent="0.3">
      <c r="A32" s="74"/>
      <c r="B32" s="92" t="s">
        <v>411</v>
      </c>
      <c r="C32" s="74"/>
      <c r="D32" s="93"/>
      <c r="E32" s="93"/>
      <c r="F32" s="93"/>
      <c r="G32" s="93"/>
      <c r="H32" s="93"/>
      <c r="I32" s="93"/>
      <c r="J32" s="93"/>
      <c r="K32" s="74"/>
    </row>
    <row r="33" spans="1:17" ht="33" customHeight="1" x14ac:dyDescent="0.3">
      <c r="A33" s="74"/>
      <c r="B33" s="74"/>
      <c r="C33" s="74"/>
      <c r="D33" s="94"/>
      <c r="E33" s="86"/>
      <c r="F33" s="86"/>
      <c r="G33" s="86"/>
      <c r="H33" s="86"/>
      <c r="I33" s="86"/>
      <c r="J33" s="86"/>
      <c r="K33" s="74"/>
      <c r="L33" s="54" t="str">
        <f ca="1">MID(CELL("имяфайла",M30),SEARCH("]",CELL("имяфайла",M30))+1,255)&amp;"/10"</f>
        <v>3/10</v>
      </c>
      <c r="M33" s="25"/>
      <c r="N33" s="25"/>
      <c r="O33" s="25"/>
    </row>
    <row r="34" spans="1:17" ht="30" customHeight="1" x14ac:dyDescent="0.3">
      <c r="K34" s="26"/>
      <c r="L34" s="26"/>
      <c r="M34" s="25"/>
      <c r="N34" s="25"/>
      <c r="O34" s="25"/>
      <c r="Q34"/>
    </row>
    <row r="35" spans="1:17" ht="30" customHeight="1" x14ac:dyDescent="0.3">
      <c r="K35" s="25"/>
      <c r="L35" s="25"/>
      <c r="M35" s="25"/>
      <c r="N35" s="25"/>
      <c r="O35" s="25"/>
    </row>
  </sheetData>
  <sheetProtection password="C737" sheet="1" objects="1" scenarios="1"/>
  <protectedRanges>
    <protectedRange sqref="B13" name="Диапазон2"/>
    <protectedRange sqref="C4:C31" name="Диапазон1"/>
  </protectedRanges>
  <conditionalFormatting sqref="C16">
    <cfRule type="expression" dxfId="42" priority="10">
      <formula>AND($B$13="Вертикальный импост",$C$16="угловая")</formula>
    </cfRule>
  </conditionalFormatting>
  <conditionalFormatting sqref="D16">
    <cfRule type="notContainsBlanks" dxfId="41" priority="9">
      <formula>LEN(TRIM(D16))&gt;0</formula>
    </cfRule>
  </conditionalFormatting>
  <conditionalFormatting sqref="C15">
    <cfRule type="expression" dxfId="40" priority="8">
      <formula>AND($B$13="Вертикальный импост",$C$15="двухпролетная")</formula>
    </cfRule>
  </conditionalFormatting>
  <conditionalFormatting sqref="D15">
    <cfRule type="containsText" dxfId="39" priority="7" operator="containsText" text="Импост закрепляется только в двух точках!!!">
      <formula>NOT(ISERROR(SEARCH("Импост закрепляется только в двух точках!!!",D15)))</formula>
    </cfRule>
  </conditionalFormatting>
  <dataValidations count="8">
    <dataValidation type="list" allowBlank="1" showInputMessage="1" showErrorMessage="1" sqref="C4">
      <formula1>Город</formula1>
    </dataValidation>
    <dataValidation type="list" allowBlank="1" showInputMessage="1" showErrorMessage="1" sqref="C5">
      <formula1>тип_местности</formula1>
    </dataValidation>
    <dataValidation type="list" allowBlank="1" showInputMessage="1" showErrorMessage="1" sqref="C12">
      <formula1>участок_стены</formula1>
    </dataValidation>
    <dataValidation type="list" allowBlank="1" showInputMessage="1" showErrorMessage="1" sqref="C22">
      <formula1>IF(C8="МП-640",ригели_МП640,IF(C8="МП-640 v2.0",ригели_МП640v2,IF(C8="МП-40",артикул_МП40,ригели_МП50)))</formula1>
    </dataValidation>
    <dataValidation type="list" allowBlank="1" showInputMessage="1" showErrorMessage="1" sqref="C9">
      <formula1>тип_конструкции</formula1>
    </dataValidation>
    <dataValidation errorStyle="warning" showInputMessage="1" errorTitle="Неверный ввод данных" error="импост не может быть угловой стойкой" sqref="D16"/>
    <dataValidation type="list" allowBlank="1" showInputMessage="1" showErrorMessage="1" sqref="C14">
      <formula1>IF(C8="МП-640",IF(B13="стойка",стойки_МП640,импосты_МП640),IF(C8="МП-640 v2.0",IF(B13="стойка",стойки_МП640v2,импосты_МП640v2),IF(C8="МП-40",артикул_МП40,IF(B13="стойка",стойки_МП50,импосты_МП50))))</formula1>
    </dataValidation>
    <dataValidation type="list" allowBlank="1" showInputMessage="1" showErrorMessage="1" sqref="C8">
      <formula1>серии</formula1>
    </dataValidation>
  </dataValidations>
  <pageMargins left="0" right="0" top="0" bottom="0" header="0.31496062992125984" footer="0.31496062992125984"/>
  <pageSetup paperSize="9" fitToWidth="0" fitToHeight="0" orientation="landscape" r:id="rId1"/>
  <drawing r:id="rId2"/>
  <legacyDrawing r:id="rId3"/>
  <legacyDrawingHF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12ADE29D-751E-4ED1-8BBF-D14D25180013}">
            <xm:f>'6'!$G$21="Не удовлетворяет условию прочности"</xm:f>
            <x14:dxf>
              <fill>
                <patternFill>
                  <bgColor rgb="FFFF0000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expression" priority="5" id="{642F6E66-3C9A-4F60-BA09-5BD02DA50BFD}">
            <xm:f>'7'!$H$27="Не удовлетворяет условию прогиба"</xm:f>
            <x14:dxf>
              <fill>
                <patternFill>
                  <bgColor rgb="FFFF0000"/>
                </patternFill>
              </fill>
            </x14:dxf>
          </x14:cfRule>
          <xm:sqref>E14</xm:sqref>
        </x14:conditionalFormatting>
        <x14:conditionalFormatting xmlns:xm="http://schemas.microsoft.com/office/excel/2006/main">
          <x14:cfRule type="expression" priority="3" id="{9AEACA64-CAE3-447F-9DBF-41C5F368FC23}">
            <xm:f>'9'!$H$22="Не удовлетворяет условию прогиба"</xm:f>
            <x14:dxf>
              <fill>
                <patternFill>
                  <bgColor rgb="FFFF0000"/>
                </patternFill>
              </fill>
            </x14:dxf>
          </x14:cfRule>
          <xm:sqref>E22</xm:sqref>
        </x14:conditionalFormatting>
        <x14:conditionalFormatting xmlns:xm="http://schemas.microsoft.com/office/excel/2006/main">
          <x14:cfRule type="expression" priority="2" id="{E60A47C0-DF36-466E-8083-EEDED5DD401A}">
            <xm:f>'8'!$G$29="Не удовлетворяет условию прочности"</xm:f>
            <x14:dxf>
              <fill>
                <patternFill>
                  <bgColor rgb="FFFF0000"/>
                </patternFill>
              </fill>
            </x14:dxf>
          </x14:cfRule>
          <xm:sqref>F22</xm:sqref>
        </x14:conditionalFormatting>
        <x14:conditionalFormatting xmlns:xm="http://schemas.microsoft.com/office/excel/2006/main">
          <x14:cfRule type="expression" priority="1" id="{031F0E15-AF5C-4DA4-9C01-F56656DD5830}">
            <xm:f>'10'!$H$17="Не удовлетворяет условию прогиба"</xm:f>
            <x14:dxf>
              <fill>
                <patternFill>
                  <bgColor rgb="FFFF0000"/>
                </patternFill>
              </fill>
            </x14:dxf>
          </x14:cfRule>
          <xm:sqref>G22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Данные!$I$10:$I$11</xm:f>
          </x14:formula1>
          <xm:sqref>C15</xm:sqref>
        </x14:dataValidation>
        <x14:dataValidation type="list" errorStyle="warning" allowBlank="1" showInputMessage="1" showErrorMessage="1" errorTitle="Неверный ввод данных" error="импост не может быть угловым">
          <x14:formula1>
            <xm:f>Данные!$I$6:$I$7</xm:f>
          </x14:formula1>
          <xm:sqref>C16</xm:sqref>
        </x14:dataValidation>
        <x14:dataValidation type="list" allowBlank="1" showInputMessage="1" showErrorMessage="1">
          <x14:formula1>
            <xm:f>Данные!$D$25:$D$28</xm:f>
          </x14:formula1>
          <xm:sqref>C29</xm:sqref>
        </x14:dataValidation>
        <x14:dataValidation type="list" allowBlank="1" showInputMessage="1" showErrorMessage="1">
          <x14:formula1>
            <xm:f>Данные!$I$14:$I$15</xm:f>
          </x14:formula1>
          <xm:sqref>C30:C31</xm:sqref>
        </x14:dataValidation>
        <x14:dataValidation type="list" allowBlank="1" showInputMessage="1" showErrorMessage="1">
          <x14:formula1>
            <xm:f>Данные!$I$17:$I$18</xm:f>
          </x14:formula1>
          <xm:sqref>B13</xm:sqref>
        </x14:dataValidation>
        <x14:dataValidation type="list" allowBlank="1" showInputMessage="1" showErrorMessage="1">
          <x14:formula1>
            <xm:f>Данные!$M$2:$M$3</xm:f>
          </x14:formula1>
          <xm:sqref>C26</xm:sqref>
        </x14:dataValidation>
        <x14:dataValidation type="list" allowBlank="1" showInputMessage="1" showErrorMessage="1">
          <x14:formula1>
            <xm:f>Данные!$I$26:$I$27</xm:f>
          </x14:formula1>
          <xm:sqref>C21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Layout" zoomScale="85" zoomScaleNormal="100" zoomScalePageLayoutView="85" workbookViewId="0">
      <selection activeCell="D11" sqref="D11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26.28515625" style="2" customWidth="1"/>
    <col min="4" max="4" width="9.140625" style="2"/>
    <col min="5" max="5" width="9.140625" style="2" customWidth="1"/>
    <col min="6" max="6" width="9" style="2" bestFit="1" customWidth="1"/>
    <col min="7" max="7" width="7.5703125" style="2" customWidth="1"/>
    <col min="8" max="8" width="9.140625" style="2"/>
    <col min="9" max="10" width="4.7109375" style="2" customWidth="1"/>
    <col min="11" max="12" width="9.140625" style="2"/>
    <col min="13" max="14" width="4.7109375" style="2" customWidth="1"/>
    <col min="15" max="15" width="21.5703125" style="2" customWidth="1"/>
    <col min="16" max="16" width="2.42578125" style="2" customWidth="1"/>
    <col min="17" max="16384" width="9.140625" style="2"/>
  </cols>
  <sheetData>
    <row r="1" spans="1:15" ht="13.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8.75" x14ac:dyDescent="0.3">
      <c r="A2" s="74"/>
      <c r="B2" s="76" t="s">
        <v>255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18.75" x14ac:dyDescent="0.3">
      <c r="A3" s="74"/>
      <c r="B3" s="132" t="s">
        <v>256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ht="25.5" customHeight="1" x14ac:dyDescent="0.3">
      <c r="A4" s="74"/>
      <c r="B4" s="74"/>
      <c r="C4" s="74"/>
      <c r="D4" s="74"/>
      <c r="E4" s="120" t="s">
        <v>257</v>
      </c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5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1:15" x14ac:dyDescent="0.3">
      <c r="A6" s="74"/>
      <c r="B6" s="74"/>
      <c r="C6" s="74" t="s">
        <v>258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1:15" x14ac:dyDescent="0.3">
      <c r="A7" s="74"/>
      <c r="B7" s="74"/>
      <c r="C7" s="74" t="s">
        <v>259</v>
      </c>
      <c r="D7" s="102" t="str">
        <f>VLOOKUP('3'!C4,ГОРОД_ВР[],2,FALSE)</f>
        <v>I</v>
      </c>
      <c r="E7" s="74" t="s">
        <v>261</v>
      </c>
      <c r="F7" s="74"/>
      <c r="G7" s="74"/>
      <c r="H7" s="74"/>
      <c r="I7" s="74"/>
      <c r="J7" s="74"/>
      <c r="K7" s="74"/>
      <c r="L7" s="74"/>
      <c r="M7" s="74"/>
      <c r="N7" s="74"/>
      <c r="O7" s="74"/>
    </row>
    <row r="8" spans="1:15" ht="18.75" x14ac:dyDescent="0.3">
      <c r="A8" s="74"/>
      <c r="B8" s="74"/>
      <c r="C8" s="74" t="s">
        <v>260</v>
      </c>
      <c r="D8" s="102">
        <f>VLOOKUP(D7,ВР_W0[],2,FALSE)</f>
        <v>0.23</v>
      </c>
      <c r="E8" s="74" t="s">
        <v>279</v>
      </c>
      <c r="F8" s="143">
        <f>D8*10^-3</f>
        <v>2.3000000000000001E-4</v>
      </c>
      <c r="G8" s="74" t="s">
        <v>494</v>
      </c>
      <c r="H8" s="74"/>
      <c r="I8" s="74"/>
      <c r="J8" s="74"/>
      <c r="K8" s="74"/>
      <c r="L8" s="74"/>
      <c r="M8" s="74"/>
      <c r="N8" s="74"/>
      <c r="O8" s="74"/>
    </row>
    <row r="9" spans="1:15" x14ac:dyDescent="0.3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x14ac:dyDescent="0.3">
      <c r="A10" s="74"/>
      <c r="B10" s="74"/>
      <c r="C10" s="74" t="s">
        <v>262</v>
      </c>
      <c r="D10" s="74"/>
      <c r="E10" s="74"/>
      <c r="F10" s="74"/>
      <c r="G10" s="74"/>
      <c r="H10" s="74" t="s">
        <v>222</v>
      </c>
      <c r="I10" s="74"/>
      <c r="J10" s="74"/>
      <c r="K10" s="74"/>
      <c r="L10" s="74"/>
      <c r="M10" s="74"/>
      <c r="N10" s="74"/>
      <c r="O10" s="74"/>
    </row>
    <row r="11" spans="1:15" x14ac:dyDescent="0.3">
      <c r="A11" s="74"/>
      <c r="B11" s="74"/>
      <c r="C11" s="74" t="s">
        <v>219</v>
      </c>
      <c r="D11" s="102" t="str">
        <f>IF('3'!C7&lt;='3'!C6,"а",IF('3'!C7&lt;=2*'3'!C6,"б","в"))</f>
        <v>в</v>
      </c>
      <c r="E11" s="74" t="s">
        <v>282</v>
      </c>
      <c r="F11" s="74"/>
      <c r="G11" s="74"/>
      <c r="H11" s="179" t="s">
        <v>223</v>
      </c>
      <c r="I11" s="182" t="s">
        <v>194</v>
      </c>
      <c r="J11" s="183"/>
      <c r="K11" s="183"/>
      <c r="L11" s="184"/>
      <c r="M11" s="85"/>
      <c r="N11" s="74"/>
      <c r="O11" s="74"/>
    </row>
    <row r="12" spans="1:15" x14ac:dyDescent="0.3">
      <c r="A12" s="74"/>
      <c r="B12" s="74"/>
      <c r="C12" s="74" t="s">
        <v>263</v>
      </c>
      <c r="D12" s="99">
        <f>IF('3'!C7&lt;='3'!C6,'3'!C7,IF('3'!C7&lt;=2*'3'!C6,IF('3'!C10&lt;='3'!C6,'3'!C6,'3'!C7),IF('3'!C7&gt;=2*'3'!C6,IF('3'!C10&lt;='3'!C6,'3'!C6,IF('3'!C10&lt;='3'!C7-'3'!C6,'3'!C10,IF('3'!C10&gt;'3'!C7-'3'!C6,'3'!C7))))))</f>
        <v>50</v>
      </c>
      <c r="E12" s="74" t="s">
        <v>495</v>
      </c>
      <c r="F12" s="74"/>
      <c r="G12" s="74"/>
      <c r="H12" s="179"/>
      <c r="I12" s="180" t="s">
        <v>224</v>
      </c>
      <c r="J12" s="181"/>
      <c r="K12" s="144" t="s">
        <v>225</v>
      </c>
      <c r="L12" s="144" t="s">
        <v>226</v>
      </c>
      <c r="M12" s="145"/>
      <c r="N12" s="74"/>
      <c r="O12" s="74"/>
    </row>
    <row r="13" spans="1:15" x14ac:dyDescent="0.3">
      <c r="A13" s="74"/>
      <c r="B13" s="74"/>
      <c r="C13" s="74" t="s">
        <v>264</v>
      </c>
      <c r="D13" s="97">
        <f>IF('3'!C5=I12,I13,IF('3'!C5=K12,K13,L13))</f>
        <v>0.2</v>
      </c>
      <c r="E13" s="74" t="s">
        <v>286</v>
      </c>
      <c r="F13" s="74"/>
      <c r="G13" s="74"/>
      <c r="H13" s="78" t="s">
        <v>227</v>
      </c>
      <c r="I13" s="180">
        <v>0.15</v>
      </c>
      <c r="J13" s="181"/>
      <c r="K13" s="144">
        <v>0.2</v>
      </c>
      <c r="L13" s="144">
        <v>0.25</v>
      </c>
      <c r="M13" s="145"/>
      <c r="N13" s="74"/>
      <c r="O13" s="74"/>
    </row>
    <row r="14" spans="1:15" ht="21" customHeight="1" x14ac:dyDescent="0.35">
      <c r="A14" s="74"/>
      <c r="B14" s="74"/>
      <c r="C14" s="74" t="s">
        <v>285</v>
      </c>
      <c r="D14" s="97">
        <f>IF('3'!C5=I12,I14,IF('3'!C5=K12,K14,L14))</f>
        <v>0.65</v>
      </c>
      <c r="E14" s="74" t="s">
        <v>286</v>
      </c>
      <c r="F14" s="74"/>
      <c r="G14" s="74"/>
      <c r="H14" s="78" t="s">
        <v>283</v>
      </c>
      <c r="I14" s="180">
        <v>1</v>
      </c>
      <c r="J14" s="181"/>
      <c r="K14" s="144">
        <v>0.65</v>
      </c>
      <c r="L14" s="144">
        <v>0.4</v>
      </c>
      <c r="M14" s="145"/>
      <c r="N14" s="74"/>
      <c r="O14" s="74"/>
    </row>
    <row r="15" spans="1:15" ht="18" x14ac:dyDescent="0.35">
      <c r="A15" s="74"/>
      <c r="B15" s="74"/>
      <c r="C15" s="74"/>
      <c r="D15" s="146">
        <f>D14*(D12/10)^(2*D13)</f>
        <v>1.2373750601653211</v>
      </c>
      <c r="E15" s="74"/>
      <c r="F15" s="74"/>
      <c r="G15" s="74"/>
      <c r="H15" s="78" t="s">
        <v>284</v>
      </c>
      <c r="I15" s="180">
        <v>0.76</v>
      </c>
      <c r="J15" s="181"/>
      <c r="K15" s="144">
        <v>1.06</v>
      </c>
      <c r="L15" s="144">
        <v>1.78</v>
      </c>
      <c r="M15" s="145"/>
      <c r="N15" s="74"/>
      <c r="O15" s="74"/>
    </row>
    <row r="16" spans="1:15" x14ac:dyDescent="0.3">
      <c r="A16" s="74"/>
      <c r="B16" s="74"/>
      <c r="C16" s="74"/>
      <c r="D16" s="97"/>
      <c r="E16" s="74"/>
      <c r="F16" s="74"/>
      <c r="G16" s="74"/>
      <c r="H16" s="86"/>
      <c r="I16" s="86"/>
      <c r="J16" s="86"/>
      <c r="K16" s="86"/>
      <c r="L16" s="86"/>
      <c r="M16" s="86"/>
      <c r="N16" s="74"/>
      <c r="O16" s="74"/>
    </row>
    <row r="17" spans="1:15" x14ac:dyDescent="0.3">
      <c r="A17" s="74"/>
      <c r="B17" s="74"/>
      <c r="C17" s="74" t="s">
        <v>265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x14ac:dyDescent="0.3">
      <c r="A18" s="74"/>
      <c r="B18" s="74"/>
      <c r="C18" s="74" t="s">
        <v>266</v>
      </c>
      <c r="D18" s="97">
        <f>IF('3'!C5=I12,I15,IF('3'!C5=K12,K15,L15))</f>
        <v>1.06</v>
      </c>
      <c r="E18" s="74" t="s">
        <v>286</v>
      </c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ht="20.25" customHeight="1" x14ac:dyDescent="0.3">
      <c r="A19" s="74"/>
      <c r="B19" s="74"/>
      <c r="C19" s="74"/>
      <c r="D19" s="146">
        <f>D18*(D12/10)^(-D13)</f>
        <v>0.76826644349835727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x14ac:dyDescent="0.3">
      <c r="A21" s="74"/>
      <c r="B21" s="74"/>
      <c r="C21" s="74" t="s">
        <v>267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x14ac:dyDescent="0.3">
      <c r="A22" s="74"/>
      <c r="B22" s="74"/>
      <c r="C22" s="74" t="s">
        <v>269</v>
      </c>
      <c r="D22" s="109">
        <v>1.2</v>
      </c>
      <c r="E22" s="74" t="s">
        <v>287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x14ac:dyDescent="0.3">
      <c r="A23" s="74"/>
      <c r="B23" s="74"/>
      <c r="C23" s="74" t="s">
        <v>268</v>
      </c>
      <c r="D23" s="147">
        <f>VLOOKUP('3'!C12,Данные!I21:J22,2,FALSE)</f>
        <v>1.2</v>
      </c>
      <c r="E23" s="74" t="s">
        <v>288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x14ac:dyDescent="0.3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x14ac:dyDescent="0.3">
      <c r="A25" s="74"/>
      <c r="B25" s="74"/>
      <c r="C25" s="74" t="s">
        <v>270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x14ac:dyDescent="0.3">
      <c r="A26" s="74"/>
      <c r="B26" s="74"/>
      <c r="C26" s="74"/>
      <c r="D26" s="127" t="s">
        <v>271</v>
      </c>
      <c r="E26" s="127" t="s">
        <v>272</v>
      </c>
      <c r="F26" s="74"/>
      <c r="G26" s="74"/>
      <c r="H26" s="148" t="s">
        <v>276</v>
      </c>
      <c r="I26" s="148"/>
      <c r="J26" s="74"/>
      <c r="K26" s="74"/>
      <c r="L26" s="74"/>
      <c r="M26" s="74"/>
      <c r="N26" s="74"/>
      <c r="O26" s="74"/>
    </row>
    <row r="27" spans="1:15" x14ac:dyDescent="0.3">
      <c r="A27" s="74"/>
      <c r="B27" s="74"/>
      <c r="C27" s="78" t="s">
        <v>289</v>
      </c>
      <c r="D27" s="87">
        <f>AVERAGE('3'!C18:C19)*'3'!C17/1000000</f>
        <v>3.15</v>
      </c>
      <c r="E27" s="87">
        <f>(IF('3'!C23&lt;='3'!C24,'3'!C23*'3'!C23/4,'3'!C24*(2*'3'!$C$23-'3'!$C$24)/4)+IF('3'!C23&lt;='3'!C25,'3'!C23*'3'!C23/4,'3'!C25*(2*'3'!$C$23-'3'!$C$25)/4))/1000000</f>
        <v>1.0809</v>
      </c>
      <c r="F27" s="74"/>
      <c r="G27" s="74"/>
      <c r="H27" s="149" t="s">
        <v>273</v>
      </c>
      <c r="I27" s="150" t="s">
        <v>412</v>
      </c>
      <c r="J27" s="151">
        <v>2</v>
      </c>
      <c r="K27" s="152">
        <v>5</v>
      </c>
      <c r="L27" s="144">
        <v>10</v>
      </c>
      <c r="M27" s="150" t="s">
        <v>413</v>
      </c>
      <c r="N27" s="151">
        <v>20</v>
      </c>
      <c r="O27" s="74"/>
    </row>
    <row r="28" spans="1:15" x14ac:dyDescent="0.3">
      <c r="A28" s="74"/>
      <c r="B28" s="74"/>
      <c r="C28" s="78" t="s">
        <v>274</v>
      </c>
      <c r="D28" s="153">
        <f>IF($D$27&lt;=$J$27,I28,IF($D$27&lt;$K$27,I28-($D$27-$J$27)*(I28-K28)/($K$27-$J$27),IF($D$27=$K$27,K28,IF($D$27&lt;$L$27,K28-($D$27-$K$27)*(K28-L28)/($L$27-$K$27),IF($D$27=$L$27,L28,IF($N$27&gt;$D$27&gt;$L$27,L28-($D$27-$L$27)*(L28-M28)/(N27-L27),M28))))))</f>
        <v>0.96166666666666667</v>
      </c>
      <c r="E28" s="153">
        <f>IF($E$27&lt;=$J$27,I28,IF($E$27&lt;$K$27,I28-($E$27-$J$27)*(I28-K28)/($K$27-$J$27),IF($E$27=$K$27,K28,IF($E$27&lt;$L$27,K28-($E$27-$K$27)*(K28-L28)/($L$27-$K$27),IF($E$27=$L$27,L28,IF($N$27&gt;$E$27&gt;$L$27,L28-($E$27-$L$27)*(L28-M28)/($N$27-$L$27),M28))))))</f>
        <v>1</v>
      </c>
      <c r="F28" s="74"/>
      <c r="G28" s="74"/>
      <c r="H28" s="78" t="s">
        <v>274</v>
      </c>
      <c r="I28" s="180">
        <v>1</v>
      </c>
      <c r="J28" s="181"/>
      <c r="K28" s="144">
        <v>0.9</v>
      </c>
      <c r="L28" s="144">
        <v>0.8</v>
      </c>
      <c r="M28" s="180">
        <v>0.75</v>
      </c>
      <c r="N28" s="181"/>
      <c r="O28" s="74"/>
    </row>
    <row r="29" spans="1:15" x14ac:dyDescent="0.3">
      <c r="A29" s="74"/>
      <c r="B29" s="74"/>
      <c r="C29" s="78" t="s">
        <v>275</v>
      </c>
      <c r="D29" s="153">
        <f>IF($D$27&lt;=$J$27,I29,IF($D$27&lt;$K$27,I29-($D$27-$J$27)*(I29-K29)/($K$27-$J$27),IF($D$27=$K$27,K29,IF($D$27&lt;$L$27,K29-($D$27-$K$27)*(K29-L29)/($L$27-$K$27),IF($D$27=$L$27,L29,IF($N$27&gt;$D$27&gt;$L$27,L29-($D$27-$L$27)*(L29-M29)/(N28-L28),M29))))))</f>
        <v>0.9425</v>
      </c>
      <c r="E29" s="153">
        <f>IF($E$27&lt;=$J$27,I29,IF($E$27&lt;$K$27,I29-($E$27-$J$27)*(I29-K29)/($K$27-$J$27),IF($E$27=$K$27,K29,IF($E$27&lt;$L$27,K29-($E$27-$K$27)*(K29-L29)/($L$27-$K$27),IF($E$27=$L$27,L29,IF($N$27&gt;$E$27&gt;$L$27,L29-($E$27-$L$27)*(L29-M29)/($N$27-$L$27),M29))))))</f>
        <v>1</v>
      </c>
      <c r="F29" s="74"/>
      <c r="G29" s="74"/>
      <c r="H29" s="78" t="s">
        <v>275</v>
      </c>
      <c r="I29" s="180">
        <v>1</v>
      </c>
      <c r="J29" s="181"/>
      <c r="K29" s="144">
        <v>0.85</v>
      </c>
      <c r="L29" s="144">
        <v>0.75</v>
      </c>
      <c r="M29" s="180">
        <v>0.65</v>
      </c>
      <c r="N29" s="181"/>
      <c r="O29" s="74"/>
    </row>
    <row r="30" spans="1:15" x14ac:dyDescent="0.3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ht="50.2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154" t="str">
        <f ca="1">MID(CELL("имяфайла",P31),SEARCH("]",CELL("имяфайла",P31))+1,255)&amp;"/10"</f>
        <v>4/10</v>
      </c>
    </row>
    <row r="33" spans="2:15" ht="30" customHeight="1" x14ac:dyDescent="0.3"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</sheetData>
  <sheetProtection password="C737" sheet="1" objects="1" scenarios="1"/>
  <mergeCells count="10">
    <mergeCell ref="H11:H12"/>
    <mergeCell ref="I28:J28"/>
    <mergeCell ref="I29:J29"/>
    <mergeCell ref="M28:N28"/>
    <mergeCell ref="M29:N29"/>
    <mergeCell ref="I12:J12"/>
    <mergeCell ref="I13:J13"/>
    <mergeCell ref="I14:J14"/>
    <mergeCell ref="I15:J15"/>
    <mergeCell ref="I11:L11"/>
  </mergeCells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Layout" zoomScale="85" zoomScaleNormal="100" zoomScalePageLayoutView="85" workbookViewId="0">
      <selection activeCell="B30" sqref="B30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11.7109375" style="2" customWidth="1"/>
    <col min="4" max="4" width="10" style="2" bestFit="1" customWidth="1"/>
    <col min="5" max="8" width="9.140625" style="2"/>
    <col min="9" max="9" width="9.5703125" style="2" bestFit="1" customWidth="1"/>
    <col min="10" max="13" width="9.140625" style="2"/>
    <col min="14" max="14" width="6" style="2" customWidth="1"/>
    <col min="15" max="15" width="18.5703125" style="2" customWidth="1"/>
    <col min="16" max="16" width="2.42578125" style="2" customWidth="1"/>
    <col min="17" max="16384" width="9.140625" style="2"/>
  </cols>
  <sheetData>
    <row r="1" spans="1:15" ht="13.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8.75" x14ac:dyDescent="0.3">
      <c r="A2" s="74"/>
      <c r="B2" s="76" t="s">
        <v>255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18.75" x14ac:dyDescent="0.3">
      <c r="A3" s="74"/>
      <c r="B3" s="76"/>
      <c r="C3" s="74" t="s">
        <v>329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ht="19.5" x14ac:dyDescent="0.35">
      <c r="A4" s="74"/>
      <c r="B4" s="76"/>
      <c r="C4" s="74"/>
      <c r="D4" s="127" t="s">
        <v>296</v>
      </c>
      <c r="E4" s="127" t="s">
        <v>297</v>
      </c>
      <c r="F4" s="127" t="s">
        <v>298</v>
      </c>
      <c r="G4" s="127" t="s">
        <v>277</v>
      </c>
      <c r="H4" s="127" t="s">
        <v>278</v>
      </c>
      <c r="I4" s="74"/>
      <c r="J4" s="74"/>
      <c r="K4" s="74"/>
      <c r="L4" s="74"/>
      <c r="M4" s="74"/>
      <c r="N4" s="74"/>
      <c r="O4" s="74"/>
    </row>
    <row r="5" spans="1:15" ht="19.5" x14ac:dyDescent="0.35">
      <c r="A5" s="74"/>
      <c r="B5" s="76"/>
      <c r="C5" s="96" t="s">
        <v>292</v>
      </c>
      <c r="D5" s="128" t="str">
        <f>'4'!$F$8&amp;"  *"</f>
        <v>0,00023  *</v>
      </c>
      <c r="E5" s="128" t="str">
        <f>ROUND('4'!$D$15,2)&amp;"   *"</f>
        <v>1,24   *</v>
      </c>
      <c r="F5" s="128" t="str">
        <f>1+ROUND('4'!$D$19,2)&amp;"   *"</f>
        <v>1,77   *</v>
      </c>
      <c r="G5" s="128" t="str">
        <f>MAX('4'!$D$22:$D$23)&amp;"   *"</f>
        <v>1,2   *</v>
      </c>
      <c r="H5" s="128" t="str">
        <f>ROUND(MAX('4'!$D$28:$D$29),2)&amp;"     ="</f>
        <v>0,96     =</v>
      </c>
      <c r="I5" s="129">
        <f>'4'!F8*'4'!D15*(1+'4'!D19)*MAX('4'!D22:D23)*MAX('4'!D28:D29)</f>
        <v>5.8074129487640906E-4</v>
      </c>
      <c r="J5" s="74" t="s">
        <v>312</v>
      </c>
      <c r="K5" s="74" t="s">
        <v>280</v>
      </c>
      <c r="L5" s="74"/>
      <c r="M5" s="74"/>
      <c r="N5" s="74"/>
      <c r="O5" s="74"/>
    </row>
    <row r="6" spans="1:15" ht="19.5" x14ac:dyDescent="0.35">
      <c r="A6" s="74"/>
      <c r="B6" s="76"/>
      <c r="C6" s="96" t="s">
        <v>292</v>
      </c>
      <c r="D6" s="128" t="str">
        <f>'4'!$F$8&amp;"  *"</f>
        <v>0,00023  *</v>
      </c>
      <c r="E6" s="128" t="str">
        <f>ROUND('4'!$D$15,2)&amp;"   *"</f>
        <v>1,24   *</v>
      </c>
      <c r="F6" s="128" t="str">
        <f>1+ROUND('4'!$D$19,2)&amp;"   *"</f>
        <v>1,77   *</v>
      </c>
      <c r="G6" s="128" t="str">
        <f>MAX('4'!$D$22:$D$23)&amp;"   *"</f>
        <v>1,2   *</v>
      </c>
      <c r="H6" s="128" t="str">
        <f>ROUND(MAX('4'!$E$28:$E$29),2)&amp;"        ="</f>
        <v>1        =</v>
      </c>
      <c r="I6" s="129">
        <f>'4'!F8*'4'!D15*(1+'4'!D19)*MAX('4'!D22:D23)*MAX('4'!E28:E29)</f>
        <v>6.0389042794773903E-4</v>
      </c>
      <c r="J6" s="74" t="s">
        <v>312</v>
      </c>
      <c r="K6" s="74" t="s">
        <v>281</v>
      </c>
      <c r="L6" s="74"/>
      <c r="M6" s="74"/>
      <c r="N6" s="74"/>
      <c r="O6" s="74"/>
    </row>
    <row r="7" spans="1:15" ht="9.75" customHeigh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</row>
    <row r="8" spans="1:15" x14ac:dyDescent="0.3">
      <c r="A8" s="74"/>
      <c r="B8" s="74"/>
      <c r="C8" s="74" t="s">
        <v>290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ht="18.75" customHeight="1" x14ac:dyDescent="0.3">
      <c r="A9" s="74"/>
      <c r="B9" s="74"/>
      <c r="C9" s="74"/>
      <c r="D9" s="74"/>
      <c r="E9" s="74" t="s">
        <v>303</v>
      </c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ht="18.75" x14ac:dyDescent="0.35">
      <c r="A10" s="74"/>
      <c r="B10" s="74"/>
      <c r="C10" s="130" t="s">
        <v>291</v>
      </c>
      <c r="D10" s="127">
        <v>1.4</v>
      </c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ht="18.75" x14ac:dyDescent="0.3">
      <c r="A11" s="74"/>
      <c r="B11" s="74"/>
      <c r="C11" s="96" t="s">
        <v>293</v>
      </c>
      <c r="D11" s="131">
        <f>I5*$D$10</f>
        <v>8.1303781282697268E-4</v>
      </c>
      <c r="E11" s="74" t="s">
        <v>312</v>
      </c>
      <c r="F11" s="74" t="s">
        <v>280</v>
      </c>
      <c r="G11" s="74"/>
      <c r="H11" s="74"/>
      <c r="I11" s="74"/>
      <c r="J11" s="74"/>
      <c r="K11" s="74"/>
      <c r="L11" s="74"/>
      <c r="M11" s="74"/>
      <c r="N11" s="74"/>
      <c r="O11" s="74"/>
    </row>
    <row r="12" spans="1:15" ht="18.75" x14ac:dyDescent="0.3">
      <c r="A12" s="74"/>
      <c r="B12" s="74"/>
      <c r="C12" s="96" t="s">
        <v>293</v>
      </c>
      <c r="D12" s="131">
        <f>I6*$D$10</f>
        <v>8.4544659912683465E-4</v>
      </c>
      <c r="E12" s="74" t="s">
        <v>312</v>
      </c>
      <c r="F12" s="74" t="s">
        <v>281</v>
      </c>
      <c r="G12" s="74"/>
      <c r="H12" s="74"/>
      <c r="I12" s="74"/>
      <c r="J12" s="74"/>
      <c r="K12" s="74"/>
      <c r="L12" s="74"/>
      <c r="M12" s="74"/>
      <c r="N12" s="74"/>
      <c r="O12" s="74"/>
    </row>
    <row r="13" spans="1:15" ht="21" customHeight="1" x14ac:dyDescent="0.3">
      <c r="A13" s="74"/>
      <c r="B13" s="132" t="s">
        <v>294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x14ac:dyDescent="0.3">
      <c r="A14" s="74"/>
      <c r="B14" s="74"/>
      <c r="C14" s="74" t="s">
        <v>330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ht="18" x14ac:dyDescent="0.35">
      <c r="A15" s="74"/>
      <c r="B15" s="74"/>
      <c r="C15" s="96" t="s">
        <v>328</v>
      </c>
      <c r="D15" s="113">
        <f>VLOOKUP('3'!C29,тип_здания[],2,FALSE)</f>
        <v>0.5</v>
      </c>
      <c r="E15" s="74" t="s">
        <v>295</v>
      </c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ht="11.25" customHeight="1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x14ac:dyDescent="0.3">
      <c r="A17" s="74"/>
      <c r="B17" s="74"/>
      <c r="C17" s="74" t="s">
        <v>331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ht="21.75" customHeight="1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ht="18.75" x14ac:dyDescent="0.35">
      <c r="A19" s="74"/>
      <c r="B19" s="74"/>
      <c r="C19" s="130" t="s">
        <v>291</v>
      </c>
      <c r="D19" s="127">
        <v>1.2</v>
      </c>
      <c r="E19" s="74" t="s">
        <v>332</v>
      </c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ht="18" x14ac:dyDescent="0.35">
      <c r="A20" s="74"/>
      <c r="B20" s="74"/>
      <c r="C20" s="96" t="s">
        <v>333</v>
      </c>
      <c r="D20" s="113">
        <f>D15*D19</f>
        <v>0.6</v>
      </c>
      <c r="E20" s="74" t="s">
        <v>323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ht="20.25" customHeight="1" x14ac:dyDescent="0.3">
      <c r="A21" s="74"/>
      <c r="B21" s="132" t="s">
        <v>334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ht="16.5" customHeight="1" x14ac:dyDescent="0.3">
      <c r="A22" s="74"/>
      <c r="B22" s="74"/>
      <c r="C22" s="185" t="s">
        <v>496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91"/>
    </row>
    <row r="23" spans="1:15" x14ac:dyDescent="0.3">
      <c r="A23" s="74"/>
      <c r="B23" s="74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91"/>
    </row>
    <row r="24" spans="1:15" x14ac:dyDescent="0.3">
      <c r="A24" s="74"/>
      <c r="B24" s="74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91"/>
    </row>
    <row r="25" spans="1:15" x14ac:dyDescent="0.3">
      <c r="A25" s="74"/>
      <c r="B25" s="74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91"/>
    </row>
    <row r="26" spans="1:15" x14ac:dyDescent="0.3">
      <c r="A26" s="74"/>
      <c r="B26" s="74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33"/>
    </row>
    <row r="27" spans="1:15" ht="18.75" customHeight="1" x14ac:dyDescent="0.3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x14ac:dyDescent="0.3">
      <c r="A28" s="74"/>
      <c r="B28" s="74"/>
      <c r="C28" s="74" t="s">
        <v>335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ht="18" x14ac:dyDescent="0.35">
      <c r="A29" s="74"/>
      <c r="B29" s="74"/>
      <c r="C29" s="96" t="s">
        <v>336</v>
      </c>
      <c r="D29" s="102">
        <v>1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ht="18" x14ac:dyDescent="0.35">
      <c r="A30" s="74"/>
      <c r="B30" s="74"/>
      <c r="C30" s="96" t="s">
        <v>327</v>
      </c>
      <c r="D30" s="102">
        <v>0.9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ht="18.75" x14ac:dyDescent="0.3">
      <c r="A31" s="74"/>
      <c r="B31" s="74"/>
      <c r="C31" s="134" t="s">
        <v>346</v>
      </c>
      <c r="D31" s="135">
        <f>I5</f>
        <v>5.8074129487640906E-4</v>
      </c>
      <c r="E31" s="136" t="s">
        <v>312</v>
      </c>
      <c r="F31" s="102"/>
      <c r="G31" s="134" t="s">
        <v>328</v>
      </c>
      <c r="H31" s="137">
        <f>D15*D30</f>
        <v>0.45</v>
      </c>
      <c r="I31" s="136" t="s">
        <v>323</v>
      </c>
      <c r="J31" s="74"/>
      <c r="K31" s="74"/>
      <c r="L31" s="74"/>
      <c r="M31" s="74"/>
      <c r="N31" s="74"/>
      <c r="O31" s="74"/>
    </row>
    <row r="32" spans="1:15" ht="18.75" x14ac:dyDescent="0.3">
      <c r="A32" s="74"/>
      <c r="B32" s="74"/>
      <c r="C32" s="134" t="s">
        <v>347</v>
      </c>
      <c r="D32" s="135">
        <f>D11</f>
        <v>8.1303781282697268E-4</v>
      </c>
      <c r="E32" s="136" t="s">
        <v>312</v>
      </c>
      <c r="F32" s="138"/>
      <c r="G32" s="134" t="s">
        <v>333</v>
      </c>
      <c r="H32" s="137">
        <f>D20*D30</f>
        <v>0.54</v>
      </c>
      <c r="I32" s="136" t="s">
        <v>323</v>
      </c>
      <c r="J32" s="74"/>
      <c r="K32" s="74"/>
      <c r="L32" s="74"/>
      <c r="M32" s="74"/>
      <c r="N32" s="74"/>
      <c r="O32" s="74"/>
    </row>
    <row r="33" spans="1:15" ht="21" customHeight="1" x14ac:dyDescent="0.3">
      <c r="A33" s="74"/>
      <c r="B33" s="74"/>
      <c r="C33" s="139"/>
      <c r="D33" s="140"/>
      <c r="E33" s="141"/>
      <c r="F33" s="138"/>
      <c r="G33" s="139"/>
      <c r="H33" s="142"/>
      <c r="I33" s="141"/>
      <c r="J33" s="74"/>
      <c r="K33" s="74"/>
      <c r="L33" s="74"/>
      <c r="M33" s="74"/>
      <c r="N33" s="74"/>
      <c r="O33" s="116" t="str">
        <f ca="1">MID(CELL("имяфайла",M30),SEARCH("]",CELL("имяфайла",M30))+1,255)&amp;"/10"</f>
        <v>5/10</v>
      </c>
    </row>
    <row r="34" spans="1:15" ht="30" customHeight="1" x14ac:dyDescent="0.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</sheetData>
  <sheetProtection password="C737" sheet="1" objects="1" scenarios="1"/>
  <mergeCells count="1">
    <mergeCell ref="C22:N26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WhiteSpace="0" view="pageLayout" zoomScaleNormal="100" workbookViewId="0">
      <selection activeCell="D11" sqref="D11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37.42578125" style="2" customWidth="1"/>
    <col min="4" max="4" width="10.28515625" style="2" customWidth="1"/>
    <col min="5" max="6" width="9.140625" style="2"/>
    <col min="7" max="11" width="8.5703125" style="2" customWidth="1"/>
    <col min="12" max="12" width="20" style="2" customWidth="1"/>
    <col min="13" max="13" width="2.5703125" style="2" customWidth="1"/>
    <col min="14" max="16384" width="9.140625" style="2"/>
  </cols>
  <sheetData>
    <row r="1" spans="1:12" ht="14.2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8.75" x14ac:dyDescent="0.3">
      <c r="A2" s="74"/>
      <c r="B2" s="76" t="s">
        <v>300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x14ac:dyDescent="0.3">
      <c r="A3" s="74"/>
      <c r="B3" s="117" t="s">
        <v>301</v>
      </c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x14ac:dyDescent="0.3">
      <c r="A4" s="74"/>
      <c r="B4" s="74"/>
      <c r="C4" s="74" t="s">
        <v>302</v>
      </c>
      <c r="D4" s="74"/>
      <c r="E4" s="74"/>
      <c r="F4" s="74"/>
      <c r="G4" s="74"/>
      <c r="H4" s="74"/>
      <c r="I4" s="74"/>
      <c r="J4" s="74"/>
      <c r="K4" s="74"/>
      <c r="L4" s="74"/>
    </row>
    <row r="5" spans="1:12" ht="36.75" customHeight="1" x14ac:dyDescent="0.3">
      <c r="A5" s="74"/>
      <c r="B5" s="74"/>
      <c r="C5" s="74"/>
      <c r="D5" s="107" t="s">
        <v>303</v>
      </c>
      <c r="E5" s="74"/>
      <c r="F5" s="74"/>
      <c r="G5" s="74"/>
      <c r="H5" s="74"/>
      <c r="I5" s="74"/>
      <c r="J5" s="74"/>
      <c r="K5" s="74"/>
      <c r="L5" s="74"/>
    </row>
    <row r="6" spans="1:12" ht="19.5" x14ac:dyDescent="0.35">
      <c r="A6" s="74"/>
      <c r="B6" s="74"/>
      <c r="C6" s="96" t="s">
        <v>306</v>
      </c>
      <c r="D6" s="124">
        <f>'3'!F14</f>
        <v>12.04</v>
      </c>
      <c r="E6" s="74" t="s">
        <v>307</v>
      </c>
      <c r="F6" s="74"/>
      <c r="G6" s="74"/>
      <c r="H6" s="74"/>
      <c r="I6" s="74"/>
      <c r="J6" s="74"/>
      <c r="K6" s="74"/>
      <c r="L6" s="74"/>
    </row>
    <row r="7" spans="1:12" x14ac:dyDescent="0.3">
      <c r="A7" s="74"/>
      <c r="B7" s="74"/>
      <c r="C7" s="96" t="s">
        <v>304</v>
      </c>
      <c r="D7" s="112">
        <f>'3'!I14</f>
        <v>134.80000000000001</v>
      </c>
      <c r="E7" s="74" t="s">
        <v>305</v>
      </c>
      <c r="F7" s="74"/>
      <c r="G7" s="74"/>
      <c r="H7" s="74"/>
      <c r="I7" s="74"/>
      <c r="J7" s="74"/>
      <c r="K7" s="74"/>
      <c r="L7" s="74"/>
    </row>
    <row r="8" spans="1:12" ht="18" x14ac:dyDescent="0.35">
      <c r="A8" s="74"/>
      <c r="B8" s="74"/>
      <c r="C8" s="96" t="s">
        <v>308</v>
      </c>
      <c r="D8" s="112">
        <v>1</v>
      </c>
      <c r="E8" s="74" t="s">
        <v>309</v>
      </c>
      <c r="F8" s="74"/>
      <c r="G8" s="74"/>
      <c r="H8" s="74"/>
      <c r="I8" s="74"/>
      <c r="J8" s="74"/>
      <c r="K8" s="74"/>
      <c r="L8" s="74"/>
    </row>
    <row r="9" spans="1:12" x14ac:dyDescent="0.3">
      <c r="A9" s="74"/>
      <c r="B9" s="74"/>
      <c r="C9" s="74" t="s">
        <v>310</v>
      </c>
      <c r="D9" s="74"/>
      <c r="E9" s="74"/>
      <c r="F9" s="74"/>
      <c r="G9" s="74"/>
      <c r="H9" s="74"/>
      <c r="I9" s="74"/>
      <c r="J9" s="74"/>
      <c r="K9" s="74"/>
      <c r="L9" s="74"/>
    </row>
    <row r="10" spans="1:12" x14ac:dyDescent="0.3">
      <c r="A10" s="74"/>
      <c r="B10" s="74"/>
      <c r="C10" s="74" t="s">
        <v>311</v>
      </c>
      <c r="D10" s="74"/>
      <c r="E10" s="74"/>
      <c r="F10" s="74"/>
      <c r="G10" s="74"/>
      <c r="H10" s="74"/>
      <c r="I10" s="74"/>
      <c r="J10" s="125"/>
      <c r="K10" s="74"/>
      <c r="L10" s="74"/>
    </row>
    <row r="11" spans="1:12" ht="32.25" customHeight="1" x14ac:dyDescent="0.3">
      <c r="A11" s="74"/>
      <c r="B11" s="74"/>
      <c r="C11" s="74"/>
      <c r="D11" s="99">
        <f>D12*D13*D14^2/8</f>
        <v>806736.76977756375</v>
      </c>
      <c r="E11" s="120" t="s">
        <v>316</v>
      </c>
      <c r="F11" s="107"/>
      <c r="G11" s="74"/>
      <c r="H11" s="74"/>
      <c r="I11" s="74"/>
      <c r="J11" s="74"/>
      <c r="K11" s="74"/>
      <c r="L11" s="74"/>
    </row>
    <row r="12" spans="1:12" ht="18.75" x14ac:dyDescent="0.3">
      <c r="A12" s="74"/>
      <c r="B12" s="74"/>
      <c r="C12" s="96" t="s">
        <v>318</v>
      </c>
      <c r="D12" s="110">
        <f>'5'!$D$32</f>
        <v>8.1303781282697268E-4</v>
      </c>
      <c r="E12" s="74" t="s">
        <v>312</v>
      </c>
      <c r="F12" s="74"/>
      <c r="G12" s="74"/>
      <c r="H12" s="74"/>
      <c r="I12" s="74"/>
      <c r="J12" s="74"/>
      <c r="K12" s="74"/>
      <c r="L12" s="74"/>
    </row>
    <row r="13" spans="1:12" ht="18" x14ac:dyDescent="0.35">
      <c r="A13" s="74"/>
      <c r="B13" s="74"/>
      <c r="C13" s="96" t="s">
        <v>313</v>
      </c>
      <c r="D13" s="99">
        <f>IF('3'!C16="угловая",AVERAGE('3'!C18,'3'!C19)*SIN(PI()/180*('3'!C20/2)),IF('3'!B13="Вертикальный импост",(IF(H&lt;='3'!C18,H^2/4,(2*H-'3'!C18)*'3'!C18/4)+IF(H&lt;='3'!C19,H^2/4,(2*H-'3'!C19)*'3'!C19/4))/H,AVERAGE('3'!C18,'3'!C19)))</f>
        <v>1250</v>
      </c>
      <c r="E13" s="74" t="s">
        <v>314</v>
      </c>
      <c r="F13" s="74"/>
      <c r="G13" s="74"/>
      <c r="H13" s="74"/>
      <c r="I13" s="74"/>
      <c r="J13" s="74"/>
      <c r="K13" s="74"/>
      <c r="L13" s="74"/>
    </row>
    <row r="14" spans="1:12" x14ac:dyDescent="0.3">
      <c r="A14" s="74"/>
      <c r="B14" s="74"/>
      <c r="C14" s="96" t="s">
        <v>315</v>
      </c>
      <c r="D14" s="99">
        <f>H</f>
        <v>2520</v>
      </c>
      <c r="E14" s="74" t="s">
        <v>314</v>
      </c>
      <c r="F14" s="74"/>
      <c r="G14" s="74"/>
      <c r="H14" s="74"/>
      <c r="I14" s="74"/>
      <c r="J14" s="74"/>
      <c r="K14" s="74"/>
      <c r="L14" s="74"/>
    </row>
    <row r="15" spans="1:12" x14ac:dyDescent="0.3">
      <c r="A15" s="74"/>
      <c r="B15" s="74"/>
      <c r="C15" s="74" t="s">
        <v>317</v>
      </c>
      <c r="D15" s="74"/>
      <c r="E15" s="74"/>
      <c r="F15" s="74"/>
      <c r="G15" s="74"/>
      <c r="H15" s="74"/>
      <c r="I15" s="74"/>
      <c r="J15" s="74"/>
      <c r="K15" s="74"/>
      <c r="L15" s="74"/>
    </row>
    <row r="16" spans="1:12" ht="36.75" customHeight="1" x14ac:dyDescent="0.3">
      <c r="A16" s="74"/>
      <c r="B16" s="74"/>
      <c r="C16" s="74"/>
      <c r="D16" s="126">
        <f>(D12*D13*D14^2+2*D18*D13*D17)^2/(8*D14^2*D12*D13)</f>
        <v>1262566.5466467978</v>
      </c>
      <c r="E16" s="120" t="s">
        <v>316</v>
      </c>
      <c r="F16" s="74"/>
      <c r="G16" s="74"/>
      <c r="H16" s="74"/>
      <c r="I16" s="74"/>
      <c r="J16" s="74"/>
      <c r="K16" s="74"/>
      <c r="L16" s="74"/>
    </row>
    <row r="17" spans="1:12" x14ac:dyDescent="0.3">
      <c r="A17" s="74"/>
      <c r="B17" s="74"/>
      <c r="C17" s="96" t="s">
        <v>319</v>
      </c>
      <c r="D17" s="99">
        <f>'3'!C28</f>
        <v>1200</v>
      </c>
      <c r="E17" s="74" t="s">
        <v>314</v>
      </c>
      <c r="F17" s="74"/>
      <c r="G17" s="74"/>
      <c r="H17" s="74"/>
      <c r="I17" s="74"/>
      <c r="J17" s="74"/>
      <c r="K17" s="74"/>
      <c r="L17" s="74"/>
    </row>
    <row r="18" spans="1:12" x14ac:dyDescent="0.3">
      <c r="A18" s="74"/>
      <c r="B18" s="74"/>
      <c r="C18" s="96" t="s">
        <v>322</v>
      </c>
      <c r="D18" s="97">
        <f>'5'!$H$32</f>
        <v>0.54</v>
      </c>
      <c r="E18" s="74" t="s">
        <v>323</v>
      </c>
      <c r="F18" s="74"/>
      <c r="G18" s="74"/>
      <c r="H18" s="74"/>
      <c r="I18" s="74"/>
      <c r="J18" s="74"/>
      <c r="K18" s="74"/>
      <c r="L18" s="74"/>
    </row>
    <row r="19" spans="1:12" x14ac:dyDescent="0.3">
      <c r="A19" s="74"/>
      <c r="B19" s="74"/>
      <c r="C19" s="74" t="s">
        <v>325</v>
      </c>
      <c r="D19" s="74"/>
      <c r="E19" s="74"/>
      <c r="F19" s="74"/>
      <c r="G19" s="74"/>
      <c r="H19" s="74"/>
      <c r="I19" s="74"/>
      <c r="J19" s="74"/>
      <c r="K19" s="74"/>
      <c r="L19" s="74"/>
    </row>
    <row r="20" spans="1:12" ht="19.5" x14ac:dyDescent="0.35">
      <c r="A20" s="74"/>
      <c r="B20" s="74"/>
      <c r="C20" s="96" t="s">
        <v>324</v>
      </c>
      <c r="D20" s="100">
        <f>IF('3'!C30="да",D16/D7/D8,D11/D7/D8)/1000</f>
        <v>9.3662206724539878</v>
      </c>
      <c r="E20" s="74" t="s">
        <v>307</v>
      </c>
      <c r="F20" s="74"/>
      <c r="G20" s="74"/>
      <c r="H20" s="74"/>
      <c r="I20" s="74"/>
      <c r="J20" s="74"/>
      <c r="K20" s="74"/>
      <c r="L20" s="74"/>
    </row>
    <row r="21" spans="1:12" ht="33.75" customHeight="1" x14ac:dyDescent="0.3">
      <c r="A21" s="74"/>
      <c r="B21" s="74"/>
      <c r="C21" s="74"/>
      <c r="D21" s="100">
        <f>IF('3'!C30="да",D16/D6/D7/D8/1000,D11/D6/D7/D8/1000)</f>
        <v>0.77792530502109547</v>
      </c>
      <c r="E21" s="114" t="str">
        <f>IF(D21&gt;=F21,"≥","≤")</f>
        <v>≤</v>
      </c>
      <c r="F21" s="113">
        <v>1</v>
      </c>
      <c r="G21" s="186" t="str">
        <f>IF(D21&gt;F21,"Не удовлетворяет условию прочности","Удовлетворяет условию прочности")</f>
        <v>Удовлетворяет условию прочности</v>
      </c>
      <c r="H21" s="187"/>
      <c r="I21" s="187"/>
      <c r="J21" s="187"/>
      <c r="K21" s="188"/>
      <c r="L21" s="74"/>
    </row>
    <row r="22" spans="1:12" x14ac:dyDescent="0.3">
      <c r="A22" s="74"/>
      <c r="B22" s="74"/>
      <c r="C22" s="74"/>
      <c r="D22" s="100"/>
      <c r="E22" s="102"/>
      <c r="F22" s="113"/>
      <c r="G22" s="105" t="s">
        <v>418</v>
      </c>
      <c r="H22" s="105"/>
      <c r="I22" s="105"/>
      <c r="J22" s="105"/>
      <c r="K22" s="106">
        <f>D21/F21</f>
        <v>0.77792530502109547</v>
      </c>
      <c r="L22" s="74"/>
    </row>
    <row r="23" spans="1:12" x14ac:dyDescent="0.3">
      <c r="A23" s="74"/>
      <c r="B23" s="74"/>
      <c r="C23" s="74"/>
      <c r="D23" s="100"/>
      <c r="E23" s="114"/>
      <c r="F23" s="113"/>
      <c r="G23" s="107"/>
      <c r="H23" s="74"/>
      <c r="I23" s="74"/>
      <c r="J23" s="74"/>
      <c r="K23" s="74"/>
      <c r="L23" s="74"/>
    </row>
    <row r="24" spans="1:12" x14ac:dyDescent="0.3">
      <c r="A24" s="74"/>
      <c r="B24" s="74"/>
      <c r="C24" s="74"/>
      <c r="D24" s="100"/>
      <c r="E24" s="114"/>
      <c r="F24" s="113"/>
      <c r="G24" s="107"/>
      <c r="H24" s="74"/>
      <c r="I24" s="74"/>
      <c r="J24" s="74"/>
      <c r="K24" s="74"/>
      <c r="L24" s="74"/>
    </row>
    <row r="25" spans="1:12" x14ac:dyDescent="0.3">
      <c r="A25" s="74"/>
      <c r="B25" s="74"/>
      <c r="C25" s="74"/>
      <c r="D25" s="100"/>
      <c r="E25" s="114"/>
      <c r="F25" s="113"/>
      <c r="G25" s="107"/>
      <c r="H25" s="74"/>
      <c r="I25" s="74"/>
      <c r="J25" s="74"/>
      <c r="K25" s="74"/>
      <c r="L25" s="74"/>
    </row>
    <row r="26" spans="1:12" x14ac:dyDescent="0.3">
      <c r="A26" s="74"/>
      <c r="B26" s="74"/>
      <c r="C26" s="74"/>
      <c r="D26" s="100"/>
      <c r="E26" s="114"/>
      <c r="F26" s="113"/>
      <c r="G26" s="107"/>
      <c r="H26" s="74"/>
      <c r="I26" s="74"/>
      <c r="J26" s="74"/>
      <c r="K26" s="74"/>
      <c r="L26" s="74"/>
    </row>
    <row r="27" spans="1:12" hidden="1" x14ac:dyDescent="0.3">
      <c r="A27" s="74"/>
      <c r="B27" s="117" t="s">
        <v>337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2" hidden="1" x14ac:dyDescent="0.3">
      <c r="A28" s="74"/>
      <c r="B28" s="74"/>
      <c r="C28" s="74" t="s">
        <v>338</v>
      </c>
      <c r="D28" s="74"/>
      <c r="E28" s="74"/>
      <c r="F28" s="74"/>
      <c r="G28" s="74"/>
      <c r="H28" s="74"/>
      <c r="I28" s="74"/>
      <c r="J28" s="74"/>
      <c r="K28" s="74"/>
      <c r="L28" s="74"/>
    </row>
    <row r="29" spans="1:12" ht="21.75" hidden="1" customHeight="1" x14ac:dyDescent="0.3">
      <c r="A29" s="74"/>
      <c r="B29" s="74"/>
      <c r="C29" s="74"/>
      <c r="D29" s="107" t="s">
        <v>303</v>
      </c>
      <c r="E29" s="74"/>
      <c r="F29" s="74"/>
      <c r="G29" s="74"/>
      <c r="H29" s="74"/>
      <c r="I29" s="74"/>
      <c r="J29" s="74"/>
      <c r="K29" s="74"/>
      <c r="L29" s="74"/>
    </row>
    <row r="30" spans="1:12" ht="18" hidden="1" x14ac:dyDescent="0.35">
      <c r="A30" s="74"/>
      <c r="B30" s="74"/>
      <c r="C30" s="96" t="s">
        <v>341</v>
      </c>
      <c r="D30" s="74" t="s">
        <v>339</v>
      </c>
      <c r="E30" s="74"/>
      <c r="F30" s="74"/>
      <c r="G30" s="74"/>
      <c r="H30" s="74"/>
      <c r="I30" s="74"/>
      <c r="J30" s="74"/>
      <c r="K30" s="74"/>
      <c r="L30" s="74"/>
    </row>
    <row r="31" spans="1:12" ht="18" hidden="1" x14ac:dyDescent="0.35">
      <c r="A31" s="74"/>
      <c r="B31" s="74"/>
      <c r="C31" s="96" t="s">
        <v>342</v>
      </c>
      <c r="D31" s="74" t="s">
        <v>340</v>
      </c>
      <c r="E31" s="74"/>
      <c r="F31" s="74"/>
      <c r="G31" s="74"/>
      <c r="H31" s="74"/>
      <c r="I31" s="74"/>
      <c r="J31" s="74"/>
      <c r="K31" s="74"/>
      <c r="L31" s="74"/>
    </row>
    <row r="32" spans="1:12" ht="70.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116" t="str">
        <f ca="1">MID(CELL("имяфайла",P36),SEARCH("]",CELL("имяфайла",P36))+1,255)&amp;"/10"</f>
        <v>6/10</v>
      </c>
    </row>
    <row r="33" spans="2:11" ht="30" customHeight="1" x14ac:dyDescent="0.3">
      <c r="B33" s="28"/>
      <c r="C33" s="28"/>
      <c r="D33" s="28"/>
      <c r="E33" s="28"/>
      <c r="F33" s="28"/>
      <c r="G33" s="28"/>
      <c r="H33" s="28"/>
      <c r="I33" s="28"/>
      <c r="J33" s="28"/>
      <c r="K33" s="28"/>
    </row>
  </sheetData>
  <sheetProtection password="C737" sheet="1" objects="1" scenarios="1"/>
  <mergeCells count="1">
    <mergeCell ref="G21:K21"/>
  </mergeCells>
  <conditionalFormatting sqref="G21:K21">
    <cfRule type="cellIs" dxfId="33" priority="7" operator="equal">
      <formula>"не удовлетворяет условию прочности"</formula>
    </cfRule>
    <cfRule type="cellIs" dxfId="32" priority="8" operator="equal">
      <formula>"удовлетворяет условию прочности"</formula>
    </cfRule>
  </conditionalFormatting>
  <conditionalFormatting sqref="K22">
    <cfRule type="expression" dxfId="31" priority="1">
      <formula>$K$22&gt;1</formula>
    </cfRule>
    <cfRule type="expression" dxfId="30" priority="2">
      <formula>$K$22&lt;1</formula>
    </cfRule>
  </conditionalFormatting>
  <pageMargins left="0" right="0" top="0" bottom="0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B25C63A7-9FFE-4E93-BE2B-63E628415C9F}">
            <xm:f>'3'!$C$30="да"</xm:f>
            <x14:dxf>
              <font>
                <b/>
                <i val="0"/>
              </font>
            </x14:dxf>
          </x14:cfRule>
          <xm:sqref>D16</xm:sqref>
        </x14:conditionalFormatting>
        <x14:conditionalFormatting xmlns:xm="http://schemas.microsoft.com/office/excel/2006/main">
          <x14:cfRule type="expression" priority="5" id="{5A7F40DD-6132-4FDB-AEB0-786323BAFBED}">
            <xm:f>'3'!$C$30="нет"</xm:f>
            <x14:dxf>
              <font>
                <b/>
                <i val="0"/>
              </font>
            </x14:dxf>
          </x14:cfRule>
          <xm:sqref>D11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Layout" topLeftCell="A7" zoomScaleNormal="100" workbookViewId="0">
      <selection activeCell="D25" sqref="D25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39.42578125" style="2" customWidth="1"/>
    <col min="4" max="4" width="10.28515625" style="2" customWidth="1"/>
    <col min="5" max="6" width="9.140625" style="2"/>
    <col min="7" max="7" width="3.28515625" style="2" bestFit="1" customWidth="1"/>
    <col min="8" max="12" width="8.5703125" style="2" customWidth="1"/>
    <col min="13" max="13" width="14.7109375" style="2" customWidth="1"/>
    <col min="14" max="14" width="2.5703125" style="2" customWidth="1"/>
    <col min="15" max="16384" width="9.140625" style="2"/>
  </cols>
  <sheetData>
    <row r="1" spans="1:13" ht="14.2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ht="18.75" x14ac:dyDescent="0.3">
      <c r="A2" s="74"/>
      <c r="B2" s="76" t="s">
        <v>300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3">
      <c r="A3" s="74"/>
      <c r="B3" s="117" t="s">
        <v>405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3">
      <c r="A4" s="74"/>
      <c r="B4" s="74"/>
      <c r="C4" s="74" t="s">
        <v>343</v>
      </c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ht="20.25" customHeight="1" x14ac:dyDescent="0.3">
      <c r="A5" s="74"/>
      <c r="B5" s="74"/>
      <c r="C5" s="74"/>
      <c r="D5" s="107" t="s">
        <v>303</v>
      </c>
      <c r="E5" s="74"/>
      <c r="F5" s="74"/>
      <c r="G5" s="74"/>
      <c r="H5" s="74"/>
      <c r="I5" s="74"/>
      <c r="J5" s="74"/>
      <c r="K5" s="74"/>
      <c r="L5" s="74"/>
      <c r="M5" s="74"/>
    </row>
    <row r="6" spans="1:13" ht="18" x14ac:dyDescent="0.35">
      <c r="A6" s="74"/>
      <c r="B6" s="74"/>
      <c r="C6" s="108" t="s">
        <v>360</v>
      </c>
      <c r="D6" s="112"/>
      <c r="E6" s="74"/>
      <c r="F6" s="74"/>
      <c r="G6" s="74"/>
      <c r="H6" s="74"/>
      <c r="I6" s="74"/>
      <c r="J6" s="74"/>
      <c r="K6" s="74"/>
      <c r="L6" s="74"/>
      <c r="M6" s="74"/>
    </row>
    <row r="7" spans="1:13" ht="30.75" customHeight="1" x14ac:dyDescent="0.3">
      <c r="A7" s="74"/>
      <c r="B7" s="74"/>
      <c r="C7" s="96"/>
      <c r="D7" s="118" t="s">
        <v>344</v>
      </c>
      <c r="E7" s="107"/>
      <c r="F7" s="74"/>
      <c r="G7" s="74"/>
      <c r="H7" s="74"/>
      <c r="I7" s="74"/>
      <c r="J7" s="74"/>
      <c r="K7" s="74"/>
      <c r="L7" s="74"/>
      <c r="M7" s="74"/>
    </row>
    <row r="8" spans="1:13" ht="30" customHeight="1" x14ac:dyDescent="0.3">
      <c r="A8" s="74"/>
      <c r="B8" s="74"/>
      <c r="C8" s="96"/>
      <c r="D8" s="118" t="s">
        <v>406</v>
      </c>
      <c r="E8" s="107"/>
      <c r="F8" s="74"/>
      <c r="G8" s="74"/>
      <c r="H8" s="74"/>
      <c r="I8" s="74"/>
      <c r="J8" s="74"/>
      <c r="K8" s="74"/>
      <c r="L8" s="74"/>
      <c r="M8" s="74"/>
    </row>
    <row r="9" spans="1:13" ht="30.75" customHeight="1" x14ac:dyDescent="0.3">
      <c r="A9" s="74"/>
      <c r="B9" s="74"/>
      <c r="C9" s="96"/>
      <c r="D9" s="118" t="s">
        <v>345</v>
      </c>
      <c r="E9" s="74"/>
      <c r="F9" s="74"/>
      <c r="G9" s="74"/>
      <c r="H9" s="74"/>
      <c r="I9" s="74"/>
      <c r="J9" s="74"/>
      <c r="K9" s="74"/>
      <c r="L9" s="74"/>
      <c r="M9" s="74"/>
    </row>
    <row r="10" spans="1:13" ht="30" customHeight="1" x14ac:dyDescent="0.3">
      <c r="A10" s="74"/>
      <c r="B10" s="74"/>
      <c r="C10" s="96"/>
      <c r="D10" s="118" t="s">
        <v>407</v>
      </c>
      <c r="E10" s="74"/>
      <c r="F10" s="74"/>
      <c r="G10" s="74"/>
      <c r="H10" s="74"/>
      <c r="I10" s="74"/>
      <c r="J10" s="74"/>
      <c r="K10" s="74"/>
      <c r="L10" s="74"/>
      <c r="M10" s="74"/>
    </row>
    <row r="11" spans="1:13" s="38" customFormat="1" x14ac:dyDescent="0.3">
      <c r="A11" s="74"/>
      <c r="B11" s="74"/>
      <c r="C11" s="108" t="s">
        <v>644</v>
      </c>
      <c r="D11" s="118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3">
      <c r="A12" s="74"/>
      <c r="B12" s="74"/>
      <c r="C12" s="96" t="s">
        <v>348</v>
      </c>
      <c r="D12" s="97">
        <f>IF('3'!C9="в навес",H/200,H/200)</f>
        <v>12.6</v>
      </c>
      <c r="E12" s="74" t="s">
        <v>645</v>
      </c>
      <c r="F12" s="74"/>
      <c r="G12" s="74"/>
      <c r="H12" s="74"/>
      <c r="I12" s="74"/>
      <c r="J12" s="74"/>
      <c r="K12" s="74"/>
      <c r="L12" s="74"/>
      <c r="M12" s="74"/>
    </row>
    <row r="13" spans="1:13" ht="18.75" x14ac:dyDescent="0.3">
      <c r="A13" s="74"/>
      <c r="B13" s="74"/>
      <c r="C13" s="96" t="s">
        <v>349</v>
      </c>
      <c r="D13" s="110">
        <f>'5'!D31</f>
        <v>5.8074129487640906E-4</v>
      </c>
      <c r="E13" s="74" t="s">
        <v>312</v>
      </c>
      <c r="F13" s="74"/>
      <c r="G13" s="74"/>
      <c r="H13" s="74"/>
      <c r="I13" s="74"/>
      <c r="J13" s="74"/>
      <c r="K13" s="74"/>
      <c r="L13" s="74"/>
      <c r="M13" s="74"/>
    </row>
    <row r="14" spans="1:13" ht="18" x14ac:dyDescent="0.35">
      <c r="A14" s="74"/>
      <c r="B14" s="74"/>
      <c r="C14" s="96" t="s">
        <v>313</v>
      </c>
      <c r="D14" s="99">
        <f>IF('3'!C16="угловая",AVERAGE('3'!C18,'3'!C19)*SIN(PI()/180*('3'!C20/2)),IF('3'!B13="Вертикальный импост",(IF(H&lt;='3'!C18,H^2/4,(2*H-'3'!C18)*'3'!C18/4)+IF(H&lt;='3'!C19,H^2/4,(2*H-'3'!C19)*'3'!C19/4))/H,AVERAGE('3'!C18,'3'!C19)))</f>
        <v>1250</v>
      </c>
      <c r="E14" s="74" t="s">
        <v>314</v>
      </c>
      <c r="F14" s="74"/>
      <c r="G14" s="74"/>
      <c r="H14" s="74"/>
      <c r="I14" s="74"/>
      <c r="J14" s="74"/>
      <c r="K14" s="74"/>
      <c r="L14" s="74"/>
      <c r="M14" s="74"/>
    </row>
    <row r="15" spans="1:13" x14ac:dyDescent="0.3">
      <c r="A15" s="74"/>
      <c r="B15" s="74"/>
      <c r="C15" s="96" t="s">
        <v>315</v>
      </c>
      <c r="D15" s="99">
        <f>H</f>
        <v>2520</v>
      </c>
      <c r="E15" s="74" t="s">
        <v>314</v>
      </c>
      <c r="F15" s="107"/>
      <c r="G15" s="74"/>
      <c r="H15" s="74"/>
      <c r="I15" s="74"/>
      <c r="J15" s="74"/>
      <c r="K15" s="74"/>
      <c r="L15" s="74"/>
      <c r="M15" s="74"/>
    </row>
    <row r="16" spans="1:13" ht="18.75" x14ac:dyDescent="0.3">
      <c r="A16" s="74"/>
      <c r="B16" s="74"/>
      <c r="C16" s="96" t="s">
        <v>350</v>
      </c>
      <c r="D16" s="99">
        <v>70000</v>
      </c>
      <c r="E16" s="74" t="s">
        <v>381</v>
      </c>
      <c r="F16" s="74"/>
      <c r="G16" s="74"/>
      <c r="H16" s="74"/>
      <c r="I16" s="74"/>
      <c r="J16" s="74"/>
      <c r="K16" s="74"/>
      <c r="L16" s="74"/>
      <c r="M16" s="74"/>
    </row>
    <row r="17" spans="1:13" ht="18.75" x14ac:dyDescent="0.3">
      <c r="A17" s="74"/>
      <c r="B17" s="74"/>
      <c r="C17" s="96" t="s">
        <v>351</v>
      </c>
      <c r="D17" s="100">
        <f>'3'!E14</f>
        <v>71.959999999999994</v>
      </c>
      <c r="E17" s="74" t="s">
        <v>352</v>
      </c>
      <c r="F17" s="74"/>
      <c r="G17" s="74"/>
      <c r="H17" s="74"/>
      <c r="I17" s="74"/>
      <c r="J17" s="74"/>
      <c r="K17" s="74"/>
      <c r="L17" s="74"/>
      <c r="M17" s="74"/>
    </row>
    <row r="18" spans="1:13" x14ac:dyDescent="0.3">
      <c r="A18" s="74"/>
      <c r="B18" s="74"/>
      <c r="C18" s="96" t="s">
        <v>322</v>
      </c>
      <c r="D18" s="97">
        <f>'5'!H31</f>
        <v>0.45</v>
      </c>
      <c r="E18" s="74" t="s">
        <v>323</v>
      </c>
      <c r="F18" s="74"/>
      <c r="G18" s="74"/>
      <c r="H18" s="74"/>
      <c r="I18" s="74"/>
      <c r="J18" s="74"/>
      <c r="K18" s="74"/>
      <c r="L18" s="74"/>
      <c r="M18" s="74"/>
    </row>
    <row r="19" spans="1:13" x14ac:dyDescent="0.3">
      <c r="A19" s="74"/>
      <c r="B19" s="74"/>
      <c r="C19" s="96" t="s">
        <v>319</v>
      </c>
      <c r="D19" s="99">
        <f>'3'!C28</f>
        <v>1200</v>
      </c>
      <c r="E19" s="74" t="s">
        <v>314</v>
      </c>
      <c r="F19" s="74"/>
      <c r="G19" s="74"/>
      <c r="H19" s="74"/>
      <c r="I19" s="74"/>
      <c r="J19" s="74"/>
      <c r="K19" s="74"/>
      <c r="L19" s="74"/>
      <c r="M19" s="74"/>
    </row>
    <row r="20" spans="1:13" x14ac:dyDescent="0.3">
      <c r="A20" s="74"/>
      <c r="B20" s="74"/>
      <c r="C20" s="74" t="s">
        <v>353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ht="30" customHeight="1" x14ac:dyDescent="0.3">
      <c r="A21" s="74"/>
      <c r="B21" s="74"/>
      <c r="C21" s="74"/>
      <c r="D21" s="74"/>
      <c r="E21" s="74"/>
      <c r="F21" s="107" t="s">
        <v>354</v>
      </c>
      <c r="G21" s="74"/>
      <c r="H21" s="74"/>
      <c r="I21" s="74"/>
      <c r="J21" s="74"/>
      <c r="K21" s="74"/>
      <c r="L21" s="74"/>
      <c r="M21" s="74"/>
    </row>
    <row r="22" spans="1:13" ht="30" customHeight="1" x14ac:dyDescent="0.3">
      <c r="A22" s="74"/>
      <c r="B22" s="74"/>
      <c r="C22" s="74"/>
      <c r="D22" s="74"/>
      <c r="E22" s="74"/>
      <c r="F22" s="107" t="s">
        <v>408</v>
      </c>
      <c r="G22" s="74"/>
      <c r="H22" s="74"/>
      <c r="I22" s="74"/>
      <c r="J22" s="74"/>
      <c r="K22" s="74"/>
      <c r="L22" s="74"/>
      <c r="M22" s="74"/>
    </row>
    <row r="23" spans="1:13" x14ac:dyDescent="0.3">
      <c r="A23" s="74"/>
      <c r="B23" s="74"/>
      <c r="C23" s="74" t="s">
        <v>355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ht="19.5" x14ac:dyDescent="0.35">
      <c r="A24" s="74"/>
      <c r="B24" s="74"/>
      <c r="C24" s="104" t="s">
        <v>356</v>
      </c>
      <c r="D24" s="103">
        <f>IF('3'!C30="да",IF('3'!C15="однопролётная",0.013*D13*D14*D15^4/(D16*F27)+D18*D14*D19*(3*D15^2-4*D19^2)/(48*D16*F27),1/185*D13*D14*D15^4/(D16*F27)+D18*D14*D19*(3*H^2-5*D19^2)/(96*D16*F27))/10000,IF('3'!C15="однопролётная",0.013*D13*D14*D15^4/(D16*F27),1/185*D13*D14*D15^4/(D16*F27))/10000)</f>
        <v>64.34021890271508</v>
      </c>
      <c r="E24" s="74" t="s">
        <v>352</v>
      </c>
      <c r="F24" s="74"/>
      <c r="G24" s="74"/>
      <c r="H24" s="74"/>
      <c r="I24" s="119"/>
      <c r="J24" s="74"/>
      <c r="K24" s="74"/>
      <c r="L24" s="74"/>
      <c r="M24" s="74"/>
    </row>
    <row r="25" spans="1:13" ht="18" x14ac:dyDescent="0.35">
      <c r="A25" s="74"/>
      <c r="B25" s="74"/>
      <c r="C25" s="96" t="s">
        <v>358</v>
      </c>
      <c r="D25" s="103">
        <f>IF('3'!C15="однопролётная",5/384*D13*D14*D15^4/(D16*D17*10000),1/185*D13*D14*D15^4/(D16*D17*10000))</f>
        <v>7.5673613062792597</v>
      </c>
      <c r="E25" s="74" t="s">
        <v>314</v>
      </c>
      <c r="F25" s="74"/>
      <c r="G25" s="74"/>
      <c r="H25" s="74"/>
      <c r="I25" s="74"/>
      <c r="J25" s="74"/>
      <c r="K25" s="74"/>
      <c r="L25" s="74"/>
      <c r="M25" s="74"/>
    </row>
    <row r="26" spans="1:13" ht="18" x14ac:dyDescent="0.35">
      <c r="A26" s="74"/>
      <c r="B26" s="74"/>
      <c r="C26" s="96" t="s">
        <v>359</v>
      </c>
      <c r="D26" s="103">
        <f>IF('3'!C30="да",IF('3'!C15="однопролётная",1/48*D18*D14*D19/(D16*D17*10000)*(3*D15^2-4*D19^2),D18*D14*D19*(3*D15^2-5*D19^2)/(96*D16*D17*10000)),0)</f>
        <v>3.710543555943778</v>
      </c>
      <c r="E26" s="74" t="s">
        <v>314</v>
      </c>
      <c r="F26" s="74"/>
      <c r="G26" s="74"/>
      <c r="H26" s="74"/>
      <c r="I26" s="74"/>
      <c r="J26" s="74"/>
      <c r="K26" s="74"/>
      <c r="L26" s="74"/>
      <c r="M26" s="74"/>
    </row>
    <row r="27" spans="1:13" ht="22.5" customHeight="1" x14ac:dyDescent="0.3">
      <c r="A27" s="74"/>
      <c r="B27" s="74"/>
      <c r="C27" s="101" t="s">
        <v>357</v>
      </c>
      <c r="D27" s="100">
        <f>D25+D26</f>
        <v>11.277904862223037</v>
      </c>
      <c r="E27" s="102" t="str">
        <f>IF(D27&gt;=F27,"мм &gt;[f] =","мм &lt;[f] =")</f>
        <v>мм &lt;[f] =</v>
      </c>
      <c r="F27" s="100">
        <f>D12</f>
        <v>12.6</v>
      </c>
      <c r="G27" s="120" t="s">
        <v>314</v>
      </c>
      <c r="H27" s="186" t="str">
        <f>IF(D27&gt;F27,"Не удовлетворяет условию прогиба","Удовлетворяет условию прогиба")</f>
        <v>Удовлетворяет условию прогиба</v>
      </c>
      <c r="I27" s="187"/>
      <c r="J27" s="187"/>
      <c r="K27" s="187"/>
      <c r="L27" s="187"/>
      <c r="M27" s="115"/>
    </row>
    <row r="28" spans="1:13" ht="30.75" customHeight="1" x14ac:dyDescent="0.3">
      <c r="A28" s="74"/>
      <c r="B28" s="74"/>
      <c r="C28" s="121"/>
      <c r="D28" s="122"/>
      <c r="E28" s="123"/>
      <c r="F28" s="122"/>
      <c r="G28" s="105"/>
      <c r="H28" s="105" t="s">
        <v>418</v>
      </c>
      <c r="I28" s="105"/>
      <c r="J28" s="105"/>
      <c r="K28" s="105"/>
      <c r="L28" s="106">
        <f>D27/F27</f>
        <v>0.8950718144621459</v>
      </c>
      <c r="M28" s="116" t="str">
        <f ca="1">MID(CELL("имяфайла",Q36),SEARCH("]",CELL("имяфайла",Q36))+1,255)&amp;"/10"</f>
        <v>7/10</v>
      </c>
    </row>
    <row r="29" spans="1:13" ht="30" customHeight="1" x14ac:dyDescent="0.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</sheetData>
  <sheetProtection password="C737" sheet="1" objects="1" scenarios="1"/>
  <mergeCells count="1">
    <mergeCell ref="H27:L27"/>
  </mergeCells>
  <conditionalFormatting sqref="H27:L27">
    <cfRule type="cellIs" dxfId="27" priority="5" operator="equal">
      <formula>"не удовлетворяет условию прогиба"</formula>
    </cfRule>
    <cfRule type="cellIs" dxfId="26" priority="6" operator="equal">
      <formula>"удовлетворяет условию прогиба"</formula>
    </cfRule>
  </conditionalFormatting>
  <conditionalFormatting sqref="M27">
    <cfRule type="expression" dxfId="25" priority="3">
      <formula>$M$27&lt;0</formula>
    </cfRule>
    <cfRule type="expression" dxfId="24" priority="4">
      <formula>$M$27&gt;0</formula>
    </cfRule>
  </conditionalFormatting>
  <conditionalFormatting sqref="L28">
    <cfRule type="expression" dxfId="23" priority="1">
      <formula>$L$28&gt;1</formula>
    </cfRule>
    <cfRule type="expression" dxfId="22" priority="2">
      <formula>$L$28&lt;1</formula>
    </cfRule>
  </conditionalFormatting>
  <pageMargins left="0" right="0" top="0" bottom="0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view="pageLayout" zoomScale="85" zoomScaleNormal="100" zoomScalePageLayoutView="85" workbookViewId="0">
      <selection activeCell="E20" sqref="E20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37.42578125" style="2" customWidth="1"/>
    <col min="4" max="4" width="10" style="2" bestFit="1" customWidth="1"/>
    <col min="5" max="6" width="9.140625" style="2"/>
    <col min="7" max="11" width="8.5703125" style="2" customWidth="1"/>
    <col min="12" max="12" width="20.42578125" style="2" customWidth="1"/>
    <col min="13" max="13" width="2.42578125" style="2" customWidth="1"/>
    <col min="14" max="16384" width="9.140625" style="2"/>
  </cols>
  <sheetData>
    <row r="1" spans="1:15" ht="13.5" customHeight="1" x14ac:dyDescent="0.3"/>
    <row r="2" spans="1:15" ht="18.75" x14ac:dyDescent="0.3">
      <c r="B2" s="12" t="s">
        <v>361</v>
      </c>
    </row>
    <row r="3" spans="1:15" x14ac:dyDescent="0.3">
      <c r="A3" s="74"/>
      <c r="B3" s="95" t="s">
        <v>362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5" ht="16.5" customHeight="1" x14ac:dyDescent="0.3">
      <c r="A4" s="74"/>
      <c r="B4" s="74"/>
      <c r="C4" s="185" t="s">
        <v>498</v>
      </c>
      <c r="D4" s="185"/>
      <c r="E4" s="185"/>
      <c r="F4" s="185"/>
      <c r="G4" s="185"/>
      <c r="H4" s="185"/>
      <c r="I4" s="185"/>
      <c r="J4" s="185"/>
      <c r="K4" s="185"/>
      <c r="L4" s="185"/>
      <c r="M4" s="23"/>
      <c r="N4" s="23"/>
      <c r="O4" s="23"/>
    </row>
    <row r="5" spans="1:15" x14ac:dyDescent="0.3">
      <c r="A5" s="74"/>
      <c r="B5" s="74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23"/>
      <c r="N5" s="23"/>
      <c r="O5" s="23"/>
    </row>
    <row r="6" spans="1:15" ht="30" customHeight="1" x14ac:dyDescent="0.3">
      <c r="A6" s="74"/>
      <c r="B6" s="74"/>
      <c r="C6" s="74"/>
      <c r="D6" s="107" t="s">
        <v>363</v>
      </c>
      <c r="E6" s="74"/>
      <c r="F6" s="107"/>
      <c r="G6" s="74"/>
      <c r="H6" s="74"/>
      <c r="I6" s="74"/>
      <c r="J6" s="74"/>
      <c r="K6" s="74"/>
      <c r="L6" s="74"/>
    </row>
    <row r="7" spans="1:15" x14ac:dyDescent="0.3">
      <c r="A7" s="74"/>
      <c r="B7" s="74"/>
      <c r="C7" s="74" t="s">
        <v>370</v>
      </c>
      <c r="D7" s="107"/>
      <c r="E7" s="74"/>
      <c r="F7" s="107"/>
      <c r="G7" s="74"/>
      <c r="H7" s="74"/>
      <c r="I7" s="74"/>
      <c r="J7" s="74"/>
      <c r="K7" s="74"/>
      <c r="L7" s="74"/>
    </row>
    <row r="8" spans="1:15" x14ac:dyDescent="0.3">
      <c r="A8" s="74"/>
      <c r="B8" s="74"/>
      <c r="C8" s="74" t="s">
        <v>311</v>
      </c>
      <c r="D8" s="74"/>
      <c r="E8" s="74"/>
      <c r="F8" s="74"/>
      <c r="G8" s="74"/>
      <c r="H8" s="74"/>
      <c r="I8" s="74"/>
      <c r="J8" s="74"/>
      <c r="K8" s="74"/>
      <c r="L8" s="74"/>
    </row>
    <row r="9" spans="1:15" ht="28.5" customHeight="1" x14ac:dyDescent="0.3">
      <c r="A9" s="74"/>
      <c r="B9" s="74"/>
      <c r="C9" s="74"/>
      <c r="D9" s="102">
        <f>D10*D11*D12^2/8</f>
        <v>171345.60543678669</v>
      </c>
      <c r="E9" s="107" t="s">
        <v>365</v>
      </c>
      <c r="F9" s="74"/>
      <c r="G9" s="74"/>
      <c r="H9" s="74"/>
      <c r="I9" s="74"/>
      <c r="J9" s="74"/>
      <c r="K9" s="74"/>
      <c r="L9" s="74"/>
    </row>
    <row r="10" spans="1:15" ht="18.75" x14ac:dyDescent="0.3">
      <c r="A10" s="74"/>
      <c r="B10" s="74"/>
      <c r="C10" s="96" t="s">
        <v>318</v>
      </c>
      <c r="D10" s="110">
        <f>'5'!$D$12</f>
        <v>8.4544659912683465E-4</v>
      </c>
      <c r="E10" s="74" t="s">
        <v>312</v>
      </c>
      <c r="F10" s="74"/>
      <c r="G10" s="74"/>
      <c r="H10" s="74"/>
      <c r="I10" s="74"/>
      <c r="J10" s="74"/>
      <c r="K10" s="74"/>
      <c r="L10" s="74"/>
    </row>
    <row r="11" spans="1:15" ht="18" x14ac:dyDescent="0.35">
      <c r="A11" s="74"/>
      <c r="B11" s="74"/>
      <c r="C11" s="96" t="s">
        <v>313</v>
      </c>
      <c r="D11" s="99">
        <f>(IF('3'!C23&lt;='3'!C24,'3'!C23*'3'!C23/4,'3'!C24*(2*'3'!$C$23-'3'!$C$24)/4)+IF('3'!C23&lt;='3'!C25,'3'!C23*'3'!C23/4,'3'!C25*(2*'3'!$C$23-'3'!$C$25)/4))/'3'!C23</f>
        <v>720.6</v>
      </c>
      <c r="E11" s="74" t="s">
        <v>314</v>
      </c>
      <c r="F11" s="74"/>
      <c r="G11" s="74"/>
      <c r="H11" s="74"/>
      <c r="I11" s="74"/>
      <c r="J11" s="74"/>
      <c r="K11" s="74"/>
      <c r="L11" s="74"/>
    </row>
    <row r="12" spans="1:15" x14ac:dyDescent="0.3">
      <c r="A12" s="74"/>
      <c r="B12" s="74"/>
      <c r="C12" s="96" t="s">
        <v>364</v>
      </c>
      <c r="D12" s="99">
        <f>'3'!C23</f>
        <v>1500</v>
      </c>
      <c r="E12" s="74" t="s">
        <v>314</v>
      </c>
      <c r="F12" s="74"/>
      <c r="G12" s="74"/>
      <c r="H12" s="74"/>
      <c r="I12" s="74"/>
      <c r="J12" s="74"/>
      <c r="K12" s="74"/>
      <c r="L12" s="74"/>
    </row>
    <row r="13" spans="1:15" x14ac:dyDescent="0.3">
      <c r="A13" s="74"/>
      <c r="B13" s="74"/>
      <c r="C13" s="74" t="s">
        <v>317</v>
      </c>
      <c r="D13" s="74"/>
      <c r="E13" s="74"/>
      <c r="F13" s="74"/>
      <c r="G13" s="74"/>
      <c r="H13" s="74"/>
      <c r="I13" s="74"/>
      <c r="J13" s="74"/>
      <c r="K13" s="74"/>
      <c r="L13" s="74"/>
    </row>
    <row r="14" spans="1:15" ht="28.5" customHeight="1" x14ac:dyDescent="0.3">
      <c r="A14" s="74"/>
      <c r="B14" s="74"/>
      <c r="C14" s="74"/>
      <c r="D14" s="102">
        <f>(D10*D11+D15)*D12^2/8</f>
        <v>323220.60543678672</v>
      </c>
      <c r="E14" s="107" t="s">
        <v>365</v>
      </c>
      <c r="F14" s="74"/>
      <c r="G14" s="74"/>
      <c r="H14" s="74"/>
      <c r="I14" s="74"/>
      <c r="J14" s="74"/>
      <c r="K14" s="74"/>
      <c r="L14" s="74"/>
    </row>
    <row r="15" spans="1:15" x14ac:dyDescent="0.3">
      <c r="A15" s="74"/>
      <c r="B15" s="74"/>
      <c r="C15" s="96" t="s">
        <v>322</v>
      </c>
      <c r="D15" s="97">
        <f>'5'!$H$32</f>
        <v>0.54</v>
      </c>
      <c r="E15" s="74" t="s">
        <v>323</v>
      </c>
      <c r="F15" s="74"/>
      <c r="G15" s="74"/>
      <c r="H15" s="74"/>
      <c r="I15" s="74"/>
      <c r="J15" s="74"/>
      <c r="K15" s="74"/>
      <c r="L15" s="74"/>
    </row>
    <row r="16" spans="1:15" ht="19.5" x14ac:dyDescent="0.35">
      <c r="A16" s="74"/>
      <c r="B16" s="74"/>
      <c r="C16" s="96" t="s">
        <v>366</v>
      </c>
      <c r="D16" s="97">
        <f>'3'!E22</f>
        <v>76.599999999999994</v>
      </c>
      <c r="E16" s="74" t="s">
        <v>367</v>
      </c>
      <c r="F16" s="74"/>
      <c r="G16" s="74"/>
      <c r="H16" s="74"/>
      <c r="I16" s="74"/>
      <c r="J16" s="74"/>
      <c r="K16" s="74"/>
      <c r="L16" s="74"/>
    </row>
    <row r="17" spans="1:12" x14ac:dyDescent="0.3">
      <c r="A17" s="74"/>
      <c r="B17" s="74"/>
      <c r="C17" s="96" t="s">
        <v>304</v>
      </c>
      <c r="D17" s="112">
        <f>'3'!I22</f>
        <v>134.80000000000001</v>
      </c>
      <c r="E17" s="74" t="s">
        <v>532</v>
      </c>
      <c r="F17" s="74"/>
      <c r="G17" s="74"/>
      <c r="H17" s="74"/>
      <c r="I17" s="74"/>
      <c r="J17" s="74"/>
      <c r="K17" s="74"/>
      <c r="L17" s="74"/>
    </row>
    <row r="18" spans="1:12" ht="18" x14ac:dyDescent="0.35">
      <c r="A18" s="74"/>
      <c r="B18" s="74"/>
      <c r="C18" s="96" t="s">
        <v>308</v>
      </c>
      <c r="D18" s="112">
        <v>1</v>
      </c>
      <c r="E18" s="74" t="s">
        <v>533</v>
      </c>
      <c r="F18" s="74"/>
      <c r="G18" s="74"/>
      <c r="H18" s="74"/>
      <c r="I18" s="74"/>
      <c r="J18" s="74"/>
      <c r="K18" s="74"/>
      <c r="L18" s="74"/>
    </row>
    <row r="19" spans="1:12" x14ac:dyDescent="0.3">
      <c r="A19" s="74"/>
      <c r="B19" s="74"/>
      <c r="C19" s="96" t="s">
        <v>369</v>
      </c>
      <c r="D19" s="112">
        <f>'3'!K22</f>
        <v>61.1</v>
      </c>
      <c r="E19" s="74" t="s">
        <v>368</v>
      </c>
      <c r="F19" s="74"/>
      <c r="G19" s="74"/>
      <c r="H19" s="74"/>
      <c r="I19" s="74"/>
      <c r="J19" s="74"/>
      <c r="K19" s="74"/>
      <c r="L19" s="74"/>
    </row>
    <row r="20" spans="1:12" ht="11.25" customHeight="1" x14ac:dyDescent="0.3">
      <c r="A20" s="74"/>
      <c r="B20" s="74"/>
      <c r="C20" s="96"/>
      <c r="D20" s="112"/>
      <c r="E20" s="74"/>
      <c r="F20" s="74"/>
      <c r="G20" s="74"/>
      <c r="H20" s="74"/>
      <c r="I20" s="74"/>
      <c r="J20" s="74"/>
      <c r="K20" s="74"/>
      <c r="L20" s="74"/>
    </row>
    <row r="21" spans="1:12" x14ac:dyDescent="0.3">
      <c r="A21" s="74"/>
      <c r="B21" s="74"/>
      <c r="C21" s="74" t="s">
        <v>371</v>
      </c>
      <c r="D21" s="74"/>
      <c r="E21" s="74"/>
      <c r="F21" s="74"/>
      <c r="G21" s="74"/>
      <c r="H21" s="74"/>
      <c r="I21" s="74"/>
      <c r="J21" s="74"/>
      <c r="K21" s="74"/>
      <c r="L21" s="74"/>
    </row>
    <row r="22" spans="1:12" x14ac:dyDescent="0.3">
      <c r="A22" s="74"/>
      <c r="B22" s="74"/>
      <c r="C22" s="74" t="s">
        <v>497</v>
      </c>
      <c r="D22" s="74"/>
      <c r="E22" s="74"/>
      <c r="F22" s="74"/>
      <c r="G22" s="74"/>
      <c r="H22" s="74"/>
      <c r="I22" s="74"/>
      <c r="J22" s="74"/>
      <c r="K22" s="74"/>
      <c r="L22" s="74"/>
    </row>
    <row r="23" spans="1:12" x14ac:dyDescent="0.3">
      <c r="A23" s="74"/>
      <c r="B23" s="74"/>
      <c r="C23" s="74"/>
      <c r="D23" s="113">
        <f>D25*D26</f>
        <v>27912.604500000005</v>
      </c>
      <c r="E23" s="107" t="s">
        <v>365</v>
      </c>
      <c r="F23" s="74"/>
      <c r="G23" s="74"/>
      <c r="H23" s="74"/>
      <c r="I23" s="74"/>
      <c r="J23" s="74"/>
      <c r="K23" s="74"/>
      <c r="L23" s="74"/>
    </row>
    <row r="24" spans="1:12" x14ac:dyDescent="0.3">
      <c r="A24" s="74"/>
      <c r="B24" s="74"/>
      <c r="C24" s="96" t="s">
        <v>372</v>
      </c>
      <c r="D24" s="97">
        <f>1.1*'3'!C11*'3'!C23*'3'!C24*24.517/1000000</f>
        <v>372.16806000000008</v>
      </c>
      <c r="E24" s="74" t="s">
        <v>374</v>
      </c>
      <c r="F24" s="74"/>
      <c r="G24" s="74"/>
      <c r="H24" s="74"/>
      <c r="I24" s="74"/>
      <c r="J24" s="74"/>
      <c r="K24" s="74"/>
      <c r="L24" s="74"/>
    </row>
    <row r="25" spans="1:12" x14ac:dyDescent="0.3">
      <c r="A25" s="74"/>
      <c r="B25" s="74"/>
      <c r="C25" s="96" t="s">
        <v>373</v>
      </c>
      <c r="D25" s="97">
        <f>D24/2</f>
        <v>186.08403000000004</v>
      </c>
      <c r="E25" s="74" t="s">
        <v>374</v>
      </c>
      <c r="F25" s="74"/>
      <c r="G25" s="74"/>
      <c r="H25" s="74"/>
      <c r="I25" s="74"/>
      <c r="J25" s="74"/>
      <c r="K25" s="74"/>
      <c r="L25" s="74"/>
    </row>
    <row r="26" spans="1:12" x14ac:dyDescent="0.3">
      <c r="A26" s="74"/>
      <c r="B26" s="74"/>
      <c r="C26" s="101" t="s">
        <v>375</v>
      </c>
      <c r="D26" s="102">
        <f>'3'!C26</f>
        <v>150</v>
      </c>
      <c r="E26" s="74" t="s">
        <v>376</v>
      </c>
      <c r="F26" s="74"/>
      <c r="G26" s="74"/>
      <c r="H26" s="74"/>
      <c r="I26" s="74"/>
      <c r="J26" s="74"/>
      <c r="K26" s="74"/>
      <c r="L26" s="74"/>
    </row>
    <row r="27" spans="1:12" ht="19.5" x14ac:dyDescent="0.35">
      <c r="A27" s="74"/>
      <c r="B27" s="74"/>
      <c r="C27" s="96" t="s">
        <v>377</v>
      </c>
      <c r="D27" s="97">
        <f>'3'!G22</f>
        <v>12.95</v>
      </c>
      <c r="E27" s="74" t="s">
        <v>378</v>
      </c>
      <c r="F27" s="74"/>
      <c r="G27" s="74"/>
      <c r="H27" s="74"/>
      <c r="I27" s="74"/>
      <c r="J27" s="74"/>
      <c r="K27" s="74"/>
      <c r="L27" s="74"/>
    </row>
    <row r="28" spans="1:12" x14ac:dyDescent="0.3">
      <c r="A28" s="74"/>
      <c r="B28" s="74"/>
      <c r="C28" s="96" t="s">
        <v>379</v>
      </c>
      <c r="D28" s="112">
        <f>'3'!J22</f>
        <v>40.799999999999997</v>
      </c>
      <c r="E28" s="74" t="s">
        <v>368</v>
      </c>
      <c r="F28" s="74"/>
      <c r="G28" s="74"/>
      <c r="H28" s="74"/>
      <c r="I28" s="74"/>
      <c r="J28" s="74"/>
      <c r="K28" s="74"/>
      <c r="L28" s="74"/>
    </row>
    <row r="29" spans="1:12" ht="33" customHeight="1" x14ac:dyDescent="0.3">
      <c r="A29" s="74"/>
      <c r="B29" s="74"/>
      <c r="C29" s="74"/>
      <c r="D29" s="113">
        <f>IF('3'!C31="да",D14*D19/(D16*10000*D17*D18),D9*D19/(D16*10000*D17*D18))+D23*D28/(D27*10000*D17*D18)</f>
        <v>0.25649690496929978</v>
      </c>
      <c r="E29" s="114" t="str">
        <f>IF(D29&gt;=F29,"&gt;","≤")</f>
        <v>≤</v>
      </c>
      <c r="F29" s="113">
        <v>1</v>
      </c>
      <c r="G29" s="186" t="str">
        <f>IF(D29&gt;F29,"Не удовлетворяет условию прочности","Удовлетворяет условию прочности")</f>
        <v>Удовлетворяет условию прочности</v>
      </c>
      <c r="H29" s="187"/>
      <c r="I29" s="187"/>
      <c r="J29" s="187"/>
      <c r="K29" s="188"/>
      <c r="L29" s="115"/>
    </row>
    <row r="30" spans="1:12" ht="45.75" customHeight="1" x14ac:dyDescent="0.3">
      <c r="A30" s="74"/>
      <c r="B30" s="74"/>
      <c r="C30" s="74"/>
      <c r="D30" s="74"/>
      <c r="E30" s="74"/>
      <c r="F30" s="74"/>
      <c r="G30" s="105" t="s">
        <v>418</v>
      </c>
      <c r="H30" s="105"/>
      <c r="I30" s="105"/>
      <c r="J30" s="105"/>
      <c r="K30" s="106">
        <f>D29/F29</f>
        <v>0.25649690496929978</v>
      </c>
      <c r="L30" s="116" t="str">
        <f ca="1">MID(CELL("имяфайла",T45),SEARCH("]",CELL("имяфайла",T45))+1,255)&amp;"/10"</f>
        <v>8/10</v>
      </c>
    </row>
    <row r="31" spans="1:12" ht="30" customHeight="1" x14ac:dyDescent="0.3">
      <c r="B31" s="28"/>
      <c r="C31" s="28"/>
      <c r="D31" s="28"/>
      <c r="E31" s="28"/>
      <c r="F31" s="28"/>
      <c r="G31" s="28"/>
      <c r="H31" s="28"/>
      <c r="I31" s="28"/>
      <c r="J31" s="28"/>
      <c r="K31" s="28"/>
    </row>
  </sheetData>
  <sheetProtection password="C737" sheet="1" objects="1" scenarios="1"/>
  <mergeCells count="2">
    <mergeCell ref="C4:L5"/>
    <mergeCell ref="G29:K29"/>
  </mergeCells>
  <conditionalFormatting sqref="G29:K29">
    <cfRule type="cellIs" dxfId="21" priority="5" operator="equal">
      <formula>"не удовлетворяет условию прочности"</formula>
    </cfRule>
    <cfRule type="cellIs" dxfId="20" priority="6" operator="equal">
      <formula>"удовлетворяет условию прочности"</formula>
    </cfRule>
  </conditionalFormatting>
  <conditionalFormatting sqref="L29">
    <cfRule type="expression" dxfId="19" priority="3">
      <formula>$L$29&lt;0</formula>
    </cfRule>
    <cfRule type="expression" dxfId="18" priority="4">
      <formula>$L$29&gt;0</formula>
    </cfRule>
  </conditionalFormatting>
  <conditionalFormatting sqref="K30">
    <cfRule type="expression" dxfId="17" priority="1">
      <formula>$K$30&gt;1</formula>
    </cfRule>
    <cfRule type="expression" dxfId="16" priority="2">
      <formula>$K$30&lt;1</formula>
    </cfRule>
  </conditionalFormatting>
  <pageMargins left="0" right="0" top="0" bottom="0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491EFC2-D01F-4273-B0BD-4012E1DD56F6}">
            <xm:f>'3'!$C$31="нет"</xm:f>
            <x14:dxf>
              <font>
                <b/>
                <i val="0"/>
              </font>
            </x14:dxf>
          </x14:cfRule>
          <xm:sqref>D9</xm:sqref>
        </x14:conditionalFormatting>
        <x14:conditionalFormatting xmlns:xm="http://schemas.microsoft.com/office/excel/2006/main">
          <x14:cfRule type="expression" priority="9" id="{27EE123E-D2B8-4987-9DB3-2EA23C1D024C}">
            <xm:f>'3'!$C$31="да"</xm:f>
            <x14:dxf>
              <font>
                <b/>
                <i val="0"/>
              </font>
            </x14:dxf>
          </x14:cfRule>
          <xm:sqref>D14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view="pageLayout" zoomScale="85" zoomScaleNormal="100" zoomScalePageLayoutView="85" workbookViewId="0">
      <selection activeCell="D14" sqref="D14"/>
    </sheetView>
  </sheetViews>
  <sheetFormatPr defaultRowHeight="16.5" x14ac:dyDescent="0.3"/>
  <cols>
    <col min="1" max="1" width="10.140625" style="2" customWidth="1"/>
    <col min="2" max="2" width="7.28515625" style="2" customWidth="1"/>
    <col min="3" max="3" width="40" style="2" customWidth="1"/>
    <col min="4" max="4" width="11.7109375" style="2" bestFit="1" customWidth="1"/>
    <col min="5" max="7" width="8.42578125" style="2" customWidth="1"/>
    <col min="8" max="12" width="8.5703125" style="2" customWidth="1"/>
    <col min="13" max="13" width="9" style="2" customWidth="1"/>
    <col min="14" max="14" width="2.5703125" style="2" customWidth="1"/>
    <col min="15" max="16384" width="9.140625" style="2"/>
  </cols>
  <sheetData>
    <row r="1" spans="1:12" ht="13.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8.75" x14ac:dyDescent="0.3">
      <c r="A2" s="74"/>
      <c r="B2" s="76" t="s">
        <v>361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x14ac:dyDescent="0.3">
      <c r="A3" s="74"/>
      <c r="B3" s="95" t="s">
        <v>385</v>
      </c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x14ac:dyDescent="0.3">
      <c r="A4" s="74"/>
      <c r="B4" s="74"/>
      <c r="C4" s="74" t="s">
        <v>380</v>
      </c>
      <c r="D4" s="74"/>
      <c r="E4" s="74"/>
      <c r="F4" s="74"/>
      <c r="G4" s="74"/>
      <c r="H4" s="74"/>
      <c r="I4" s="74"/>
      <c r="J4" s="74"/>
      <c r="K4" s="74"/>
      <c r="L4" s="74"/>
    </row>
    <row r="5" spans="1:12" ht="18.75" customHeight="1" x14ac:dyDescent="0.3">
      <c r="A5" s="74"/>
      <c r="B5" s="74"/>
      <c r="C5" s="74"/>
      <c r="D5" s="107" t="s">
        <v>303</v>
      </c>
      <c r="E5" s="74"/>
      <c r="F5" s="74"/>
      <c r="G5" s="74"/>
      <c r="H5" s="74"/>
      <c r="I5" s="74"/>
      <c r="J5" s="74"/>
      <c r="K5" s="74"/>
      <c r="L5" s="74"/>
    </row>
    <row r="6" spans="1:12" ht="30" customHeight="1" x14ac:dyDescent="0.3">
      <c r="A6" s="74"/>
      <c r="B6" s="74"/>
      <c r="C6" s="74"/>
      <c r="D6" s="107" t="s">
        <v>386</v>
      </c>
      <c r="E6" s="74"/>
      <c r="F6" s="74"/>
      <c r="G6" s="74"/>
      <c r="H6" s="74"/>
      <c r="I6" s="74"/>
      <c r="J6" s="74"/>
      <c r="K6" s="74"/>
      <c r="L6" s="74"/>
    </row>
    <row r="7" spans="1:12" ht="30" customHeight="1" x14ac:dyDescent="0.3">
      <c r="A7" s="74"/>
      <c r="B7" s="74"/>
      <c r="C7" s="96"/>
      <c r="D7" s="107" t="s">
        <v>387</v>
      </c>
      <c r="E7" s="74"/>
      <c r="F7" s="74"/>
      <c r="G7" s="74"/>
      <c r="H7" s="74"/>
      <c r="I7" s="74"/>
      <c r="J7" s="74"/>
      <c r="K7" s="74"/>
      <c r="L7" s="74"/>
    </row>
    <row r="8" spans="1:12" s="38" customFormat="1" x14ac:dyDescent="0.3">
      <c r="A8" s="74"/>
      <c r="B8" s="74"/>
      <c r="C8" s="108" t="s">
        <v>491</v>
      </c>
      <c r="D8" s="107"/>
      <c r="E8" s="74"/>
      <c r="F8" s="74"/>
      <c r="G8" s="74"/>
      <c r="H8" s="74"/>
      <c r="I8" s="74"/>
      <c r="J8" s="74"/>
      <c r="K8" s="74"/>
      <c r="L8" s="74"/>
    </row>
    <row r="9" spans="1:12" x14ac:dyDescent="0.3">
      <c r="A9" s="74"/>
      <c r="B9" s="74"/>
      <c r="C9" s="96" t="s">
        <v>348</v>
      </c>
      <c r="D9" s="109">
        <f>IF('3'!C9="в навес",B/200,B/200)</f>
        <v>7.5</v>
      </c>
      <c r="E9" s="74" t="s">
        <v>492</v>
      </c>
      <c r="F9" s="74"/>
      <c r="G9" s="74"/>
      <c r="H9" s="74"/>
      <c r="I9" s="74"/>
      <c r="J9" s="74"/>
      <c r="K9" s="74"/>
      <c r="L9" s="74"/>
    </row>
    <row r="10" spans="1:12" ht="18.75" x14ac:dyDescent="0.3">
      <c r="A10" s="74"/>
      <c r="B10" s="74"/>
      <c r="C10" s="96" t="s">
        <v>349</v>
      </c>
      <c r="D10" s="110">
        <f>'5'!I6</f>
        <v>6.0389042794773903E-4</v>
      </c>
      <c r="E10" s="74" t="s">
        <v>312</v>
      </c>
      <c r="F10" s="74"/>
      <c r="G10" s="74"/>
      <c r="H10" s="74"/>
      <c r="I10" s="74"/>
      <c r="J10" s="74"/>
      <c r="K10" s="74"/>
      <c r="L10" s="74"/>
    </row>
    <row r="11" spans="1:12" ht="18" x14ac:dyDescent="0.35">
      <c r="A11" s="74"/>
      <c r="B11" s="74"/>
      <c r="C11" s="96" t="s">
        <v>313</v>
      </c>
      <c r="D11" s="99">
        <f>(IF('3'!C23&lt;='3'!C24,'3'!C23*'3'!C23/4,'3'!C24*(2*'3'!$C$23-'3'!$C$24)/4)+IF('3'!C23&lt;='3'!C25,'3'!C23*'3'!C23/4,'3'!C25*(2*'3'!$C$23-'3'!$C$25)/4))/'3'!C23</f>
        <v>720.6</v>
      </c>
      <c r="E11" s="74" t="s">
        <v>314</v>
      </c>
      <c r="F11" s="74"/>
      <c r="G11" s="74"/>
      <c r="H11" s="74"/>
      <c r="I11" s="74"/>
      <c r="J11" s="74"/>
      <c r="K11" s="74"/>
      <c r="L11" s="74"/>
    </row>
    <row r="12" spans="1:12" x14ac:dyDescent="0.3">
      <c r="A12" s="74"/>
      <c r="B12" s="74"/>
      <c r="C12" s="96" t="s">
        <v>364</v>
      </c>
      <c r="D12" s="99">
        <f>'3'!C23</f>
        <v>1500</v>
      </c>
      <c r="E12" s="74" t="s">
        <v>314</v>
      </c>
      <c r="F12" s="74"/>
      <c r="G12" s="74"/>
      <c r="H12" s="74"/>
      <c r="I12" s="74"/>
      <c r="J12" s="74"/>
      <c r="K12" s="74"/>
      <c r="L12" s="74"/>
    </row>
    <row r="13" spans="1:12" ht="18.75" x14ac:dyDescent="0.3">
      <c r="A13" s="74"/>
      <c r="B13" s="74"/>
      <c r="C13" s="96" t="s">
        <v>350</v>
      </c>
      <c r="D13" s="99">
        <v>70000</v>
      </c>
      <c r="E13" s="74" t="s">
        <v>381</v>
      </c>
      <c r="F13" s="74"/>
      <c r="G13" s="74"/>
      <c r="H13" s="74"/>
      <c r="I13" s="74"/>
      <c r="J13" s="74"/>
      <c r="K13" s="74"/>
      <c r="L13" s="74"/>
    </row>
    <row r="14" spans="1:12" ht="18.75" x14ac:dyDescent="0.3">
      <c r="A14" s="74"/>
      <c r="B14" s="74"/>
      <c r="C14" s="96" t="s">
        <v>388</v>
      </c>
      <c r="D14" s="100">
        <f>'3'!E22</f>
        <v>76.599999999999994</v>
      </c>
      <c r="E14" s="74" t="s">
        <v>352</v>
      </c>
      <c r="F14" s="74"/>
      <c r="G14" s="74"/>
      <c r="H14" s="74"/>
      <c r="I14" s="74"/>
      <c r="J14" s="74"/>
      <c r="K14" s="74"/>
      <c r="L14" s="74"/>
    </row>
    <row r="15" spans="1:12" x14ac:dyDescent="0.3">
      <c r="A15" s="74"/>
      <c r="B15" s="74"/>
      <c r="C15" s="96" t="s">
        <v>322</v>
      </c>
      <c r="D15" s="97">
        <f>'5'!H31</f>
        <v>0.45</v>
      </c>
      <c r="E15" s="74" t="s">
        <v>323</v>
      </c>
      <c r="F15" s="74"/>
      <c r="G15" s="74"/>
      <c r="H15" s="74"/>
      <c r="I15" s="74"/>
      <c r="J15" s="74"/>
      <c r="K15" s="74"/>
      <c r="L15" s="74"/>
    </row>
    <row r="16" spans="1:12" x14ac:dyDescent="0.3">
      <c r="A16" s="74"/>
      <c r="B16" s="74"/>
      <c r="C16" s="74" t="s">
        <v>389</v>
      </c>
      <c r="D16" s="74"/>
      <c r="E16" s="74"/>
      <c r="F16" s="74"/>
      <c r="G16" s="74"/>
      <c r="H16" s="74"/>
      <c r="I16" s="74"/>
      <c r="J16" s="74"/>
      <c r="K16" s="74"/>
      <c r="L16" s="74"/>
    </row>
    <row r="17" spans="1:13" ht="30" customHeight="1" x14ac:dyDescent="0.3">
      <c r="A17" s="74"/>
      <c r="B17" s="74"/>
      <c r="C17" s="74"/>
      <c r="D17" s="107" t="s">
        <v>390</v>
      </c>
      <c r="E17" s="74"/>
      <c r="F17" s="74"/>
      <c r="G17" s="74"/>
      <c r="H17" s="74"/>
      <c r="I17" s="74"/>
      <c r="J17" s="74"/>
      <c r="K17" s="74"/>
      <c r="L17" s="74"/>
    </row>
    <row r="18" spans="1:13" ht="30" customHeight="1" x14ac:dyDescent="0.3">
      <c r="A18" s="74"/>
      <c r="B18" s="74"/>
      <c r="C18" s="96"/>
      <c r="D18" s="107" t="s">
        <v>391</v>
      </c>
      <c r="E18" s="74"/>
      <c r="F18" s="74"/>
      <c r="G18" s="74"/>
      <c r="H18" s="74"/>
      <c r="I18" s="74"/>
      <c r="J18" s="74"/>
      <c r="K18" s="74"/>
      <c r="L18" s="74"/>
    </row>
    <row r="19" spans="1:13" x14ac:dyDescent="0.3">
      <c r="A19" s="74"/>
      <c r="B19" s="74"/>
      <c r="C19" s="74" t="s">
        <v>392</v>
      </c>
      <c r="D19" s="74"/>
      <c r="E19" s="74"/>
      <c r="F19" s="74"/>
      <c r="G19" s="74"/>
      <c r="H19" s="74"/>
      <c r="I19" s="74"/>
      <c r="J19" s="74"/>
      <c r="K19" s="74"/>
      <c r="L19" s="74"/>
    </row>
    <row r="20" spans="1:13" ht="19.5" x14ac:dyDescent="0.35">
      <c r="A20" s="74"/>
      <c r="B20" s="74"/>
      <c r="C20" s="104" t="s">
        <v>356</v>
      </c>
      <c r="D20" s="103">
        <f>(IF('3'!C31="нет",0.013*D10*D11*B^4/(D13*D9),0.013*(D10*D11+D15)*B^4/(D13*D9)))/10000</f>
        <v>11.096156009824229</v>
      </c>
      <c r="E20" s="74" t="s">
        <v>352</v>
      </c>
      <c r="F20" s="74"/>
      <c r="G20" s="74"/>
      <c r="H20" s="74"/>
      <c r="I20" s="74"/>
      <c r="J20" s="74"/>
      <c r="K20" s="74"/>
      <c r="L20" s="74"/>
    </row>
    <row r="21" spans="1:13" ht="11.2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</row>
    <row r="22" spans="1:13" ht="18.75" x14ac:dyDescent="0.35">
      <c r="A22" s="74"/>
      <c r="B22" s="74"/>
      <c r="C22" s="96" t="s">
        <v>398</v>
      </c>
      <c r="D22" s="100">
        <f>IF('3'!C31="нет",0.013*D10*D11*D12^4/(D13*D14*10000),0.013*(D10*D11+'9'!D15)*D12^4/(D13*D14*10000))</f>
        <v>1.0864382516146438</v>
      </c>
      <c r="E22" s="102" t="str">
        <f>IF(D22&gt;=F22,"мм &gt;[f] =","мм &lt;[f] =")</f>
        <v>мм &lt;[f] =</v>
      </c>
      <c r="F22" s="100">
        <f>D9</f>
        <v>7.5</v>
      </c>
      <c r="G22" s="74" t="s">
        <v>314</v>
      </c>
      <c r="H22" s="186" t="str">
        <f>IF(D22&gt;F22,"Не удовлетворяет условию прогиба","Удовлетворяет условию прогиба")</f>
        <v>Удовлетворяет условию прогиба</v>
      </c>
      <c r="I22" s="187"/>
      <c r="J22" s="187"/>
      <c r="K22" s="187"/>
      <c r="L22" s="188"/>
      <c r="M22" s="37"/>
    </row>
    <row r="23" spans="1:13" ht="22.5" customHeight="1" x14ac:dyDescent="0.3">
      <c r="A23" s="74"/>
      <c r="B23" s="74"/>
      <c r="C23" s="74"/>
      <c r="D23" s="74"/>
      <c r="E23" s="74"/>
      <c r="F23" s="74"/>
      <c r="G23" s="74"/>
      <c r="H23" s="105" t="s">
        <v>418</v>
      </c>
      <c r="I23" s="105"/>
      <c r="J23" s="105"/>
      <c r="K23" s="105"/>
      <c r="L23" s="106">
        <f>D22/F22</f>
        <v>0.14485843354861919</v>
      </c>
    </row>
    <row r="24" spans="1:13" x14ac:dyDescent="0.3">
      <c r="A24" s="74"/>
      <c r="B24" s="95" t="s">
        <v>393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</row>
    <row r="25" spans="1:13" x14ac:dyDescent="0.3">
      <c r="A25" s="74"/>
      <c r="B25" s="74"/>
      <c r="C25" s="74" t="s">
        <v>380</v>
      </c>
      <c r="D25" s="74"/>
      <c r="E25" s="74"/>
      <c r="F25" s="74"/>
      <c r="G25" s="74"/>
      <c r="H25" s="74"/>
      <c r="I25" s="74"/>
      <c r="J25" s="74"/>
      <c r="K25" s="74"/>
      <c r="L25" s="74"/>
    </row>
    <row r="26" spans="1:13" x14ac:dyDescent="0.3">
      <c r="A26" s="74"/>
      <c r="B26" s="74"/>
      <c r="C26" s="74"/>
      <c r="D26" s="107" t="s">
        <v>303</v>
      </c>
      <c r="E26" s="74"/>
      <c r="F26" s="74"/>
      <c r="G26" s="74"/>
      <c r="H26" s="74"/>
      <c r="I26" s="74"/>
      <c r="J26" s="74"/>
      <c r="K26" s="74"/>
      <c r="L26" s="74"/>
    </row>
    <row r="27" spans="1:13" ht="30" customHeight="1" x14ac:dyDescent="0.3">
      <c r="A27" s="74"/>
      <c r="B27" s="74"/>
      <c r="C27" s="74"/>
      <c r="D27" s="107" t="s">
        <v>394</v>
      </c>
      <c r="E27" s="74"/>
      <c r="F27" s="74"/>
      <c r="G27" s="74"/>
      <c r="H27" s="74"/>
      <c r="I27" s="74"/>
      <c r="J27" s="74"/>
      <c r="K27" s="74"/>
      <c r="L27" s="74"/>
    </row>
    <row r="28" spans="1:13" ht="32.25" customHeight="1" x14ac:dyDescent="0.3">
      <c r="A28" s="74"/>
      <c r="B28" s="74"/>
      <c r="C28" s="74"/>
      <c r="D28" s="107" t="s">
        <v>395</v>
      </c>
      <c r="E28" s="74"/>
      <c r="F28" s="74"/>
      <c r="G28" s="74"/>
      <c r="H28" s="74"/>
      <c r="I28" s="74"/>
      <c r="J28" s="74"/>
      <c r="K28" s="74"/>
      <c r="L28" s="74"/>
    </row>
    <row r="29" spans="1:13" ht="23.25" customHeight="1" x14ac:dyDescent="0.3">
      <c r="A29" s="74"/>
      <c r="B29" s="74"/>
      <c r="C29" s="74"/>
      <c r="D29" s="107"/>
      <c r="E29" s="74"/>
      <c r="F29" s="74"/>
      <c r="G29" s="74"/>
      <c r="H29" s="74"/>
      <c r="I29" s="74"/>
      <c r="J29" s="74"/>
      <c r="K29" s="74"/>
      <c r="L29" s="74"/>
      <c r="M29" s="24" t="str">
        <f ca="1">MID(CELL("имяфайла",S51),SEARCH("]",CELL("имяфайла",S51))+1,255)&amp;"/10"</f>
        <v>9/10</v>
      </c>
    </row>
    <row r="30" spans="1:13" ht="30" customHeight="1" x14ac:dyDescent="0.3">
      <c r="B30" s="28"/>
      <c r="C30" s="28"/>
      <c r="D30" s="28"/>
      <c r="E30" s="28"/>
      <c r="F30" s="28"/>
      <c r="G30" s="28"/>
      <c r="H30" s="28"/>
      <c r="I30" s="28"/>
      <c r="J30" s="28"/>
      <c r="K30" s="28"/>
    </row>
  </sheetData>
  <sheetProtection password="C737" sheet="1" objects="1" scenarios="1"/>
  <mergeCells count="1">
    <mergeCell ref="H22:L22"/>
  </mergeCells>
  <conditionalFormatting sqref="H22:L22">
    <cfRule type="cellIs" dxfId="13" priority="5" operator="equal">
      <formula>"не удовлетворяет условию прогиба"</formula>
    </cfRule>
    <cfRule type="cellIs" dxfId="12" priority="6" operator="equal">
      <formula>"удовлетворяет условию прогиба"</formula>
    </cfRule>
  </conditionalFormatting>
  <conditionalFormatting sqref="M22">
    <cfRule type="expression" dxfId="11" priority="3">
      <formula>$M$22&lt;0</formula>
    </cfRule>
    <cfRule type="expression" dxfId="10" priority="4">
      <formula>$M$22&gt;0</formula>
    </cfRule>
  </conditionalFormatting>
  <conditionalFormatting sqref="L23">
    <cfRule type="expression" dxfId="9" priority="1">
      <formula>$L$23&gt;1</formula>
    </cfRule>
    <cfRule type="expression" dxfId="8" priority="2">
      <formula>$L$23&lt;1</formula>
    </cfRule>
  </conditionalFormatting>
  <pageMargins left="0" right="0" top="0" bottom="0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view="pageLayout" zoomScale="85" zoomScaleNormal="100" zoomScalePageLayoutView="85" workbookViewId="0">
      <selection activeCell="D5" sqref="D5"/>
    </sheetView>
  </sheetViews>
  <sheetFormatPr defaultRowHeight="16.5" x14ac:dyDescent="0.3"/>
  <cols>
    <col min="1" max="1" width="10.140625" style="2" customWidth="1"/>
    <col min="2" max="2" width="9.140625" style="2"/>
    <col min="3" max="3" width="29.42578125" style="2" customWidth="1"/>
    <col min="4" max="4" width="11.7109375" style="2" bestFit="1" customWidth="1"/>
    <col min="5" max="7" width="9.140625" style="2"/>
    <col min="8" max="12" width="8.7109375" style="2" customWidth="1"/>
    <col min="13" max="13" width="15" style="2" customWidth="1"/>
    <col min="14" max="14" width="2.42578125" style="2" customWidth="1"/>
    <col min="15" max="16384" width="9.140625" style="2"/>
  </cols>
  <sheetData>
    <row r="1" spans="1:12" ht="13.5" customHeight="1" x14ac:dyDescent="0.3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8.75" x14ac:dyDescent="0.3">
      <c r="A2" s="74"/>
      <c r="B2" s="76" t="s">
        <v>361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x14ac:dyDescent="0.3">
      <c r="A3" s="74"/>
      <c r="B3" s="95"/>
      <c r="C3" s="96" t="s">
        <v>348</v>
      </c>
      <c r="D3" s="97">
        <f>IF('3'!C8="МП-640",IF('3'!C21="рядовой (глухое остекление)",2,B/200),IF('3'!C8="МП-640 v2.0",IF('3'!C21="рядовой (глухое остекление)",1,B/200),IF('3'!C8="МП-40",IF('3'!C21="рядовой (глухое остекление)",3,B/200),IF('3'!C21="рядовой (глухое остекление)",5,B/200))))</f>
        <v>2</v>
      </c>
      <c r="E3" s="74" t="s">
        <v>397</v>
      </c>
      <c r="F3" s="74"/>
      <c r="G3" s="74"/>
      <c r="H3" s="74"/>
      <c r="I3" s="74"/>
      <c r="J3" s="74"/>
      <c r="K3" s="74"/>
      <c r="L3" s="74"/>
    </row>
    <row r="4" spans="1:12" x14ac:dyDescent="0.3">
      <c r="A4" s="74"/>
      <c r="B4" s="74"/>
      <c r="C4" s="96" t="s">
        <v>399</v>
      </c>
      <c r="D4" s="98">
        <f>IF('3'!C8="МП-640",VLOOKUP('3'!C22,ригели_МП640_ГХ[],9,FALSE),IF('3'!C8="МП-640 v2.0",VLOOKUP('3'!C22,ригели_МП640v2_ГХ[],9,FALSE),IF('3'!C8="МП-40",VLOOKUP('3'!C22,МП40_ГХ[],9,FALSE),VLOOKUP('3'!C22,ригели_МП50_ГХ[],9,FALSE))))*0.00980655</f>
        <v>1.4415628500000001E-2</v>
      </c>
      <c r="E4" s="74" t="s">
        <v>323</v>
      </c>
      <c r="F4" s="74"/>
      <c r="G4" s="74"/>
      <c r="H4" s="74"/>
      <c r="I4" s="74"/>
      <c r="J4" s="74"/>
      <c r="K4" s="74"/>
      <c r="L4" s="74"/>
    </row>
    <row r="5" spans="1:12" x14ac:dyDescent="0.3">
      <c r="A5" s="74"/>
      <c r="B5" s="74"/>
      <c r="C5" s="96" t="s">
        <v>364</v>
      </c>
      <c r="D5" s="99">
        <f>'3'!C23</f>
        <v>1500</v>
      </c>
      <c r="E5" s="74" t="s">
        <v>314</v>
      </c>
      <c r="F5" s="74"/>
      <c r="G5" s="74"/>
      <c r="H5" s="74"/>
      <c r="I5" s="74"/>
      <c r="J5" s="74"/>
      <c r="K5" s="74"/>
      <c r="L5" s="74"/>
    </row>
    <row r="6" spans="1:12" ht="18.75" x14ac:dyDescent="0.3">
      <c r="A6" s="74"/>
      <c r="B6" s="74"/>
      <c r="C6" s="96" t="s">
        <v>350</v>
      </c>
      <c r="D6" s="99">
        <v>70000</v>
      </c>
      <c r="E6" s="74" t="s">
        <v>381</v>
      </c>
      <c r="F6" s="74"/>
      <c r="G6" s="74"/>
      <c r="H6" s="74"/>
      <c r="I6" s="74"/>
      <c r="J6" s="74"/>
      <c r="K6" s="74"/>
      <c r="L6" s="74"/>
    </row>
    <row r="7" spans="1:12" ht="18.75" x14ac:dyDescent="0.3">
      <c r="A7" s="74"/>
      <c r="B7" s="74"/>
      <c r="C7" s="96" t="s">
        <v>400</v>
      </c>
      <c r="D7" s="100">
        <f>'3'!G22</f>
        <v>12.95</v>
      </c>
      <c r="E7" s="74" t="s">
        <v>352</v>
      </c>
      <c r="F7" s="74"/>
      <c r="G7" s="74"/>
      <c r="H7" s="74"/>
      <c r="I7" s="74"/>
      <c r="J7" s="74"/>
      <c r="K7" s="74"/>
      <c r="L7" s="74"/>
    </row>
    <row r="8" spans="1:12" x14ac:dyDescent="0.3">
      <c r="A8" s="74"/>
      <c r="B8" s="74"/>
      <c r="C8" s="96" t="s">
        <v>372</v>
      </c>
      <c r="D8" s="97">
        <f>'3'!C11*'3'!C23*'3'!C24*24.517/1000000</f>
        <v>338.33460000000002</v>
      </c>
      <c r="E8" s="74" t="s">
        <v>374</v>
      </c>
      <c r="F8" s="74"/>
      <c r="G8" s="74"/>
      <c r="H8" s="74"/>
      <c r="I8" s="74"/>
      <c r="J8" s="74"/>
      <c r="K8" s="74"/>
      <c r="L8" s="74"/>
    </row>
    <row r="9" spans="1:12" x14ac:dyDescent="0.3">
      <c r="A9" s="74"/>
      <c r="B9" s="74"/>
      <c r="C9" s="96" t="s">
        <v>373</v>
      </c>
      <c r="D9" s="97">
        <f>D8/2</f>
        <v>169.16730000000001</v>
      </c>
      <c r="E9" s="74" t="s">
        <v>374</v>
      </c>
      <c r="F9" s="74"/>
      <c r="G9" s="74"/>
      <c r="H9" s="74"/>
      <c r="I9" s="74"/>
      <c r="J9" s="74"/>
      <c r="K9" s="74"/>
      <c r="L9" s="74"/>
    </row>
    <row r="10" spans="1:12" x14ac:dyDescent="0.3">
      <c r="A10" s="74"/>
      <c r="B10" s="74"/>
      <c r="C10" s="101" t="s">
        <v>375</v>
      </c>
      <c r="D10" s="102">
        <f>'3'!C26</f>
        <v>150</v>
      </c>
      <c r="E10" s="74" t="s">
        <v>376</v>
      </c>
      <c r="F10" s="74"/>
      <c r="G10" s="74"/>
      <c r="H10" s="74"/>
      <c r="I10" s="74"/>
      <c r="J10" s="74"/>
      <c r="K10" s="74"/>
      <c r="L10" s="74"/>
    </row>
    <row r="11" spans="1:12" x14ac:dyDescent="0.3">
      <c r="A11" s="74"/>
      <c r="B11" s="74"/>
      <c r="C11" s="74" t="s">
        <v>401</v>
      </c>
      <c r="D11" s="74"/>
      <c r="E11" s="74"/>
      <c r="F11" s="74"/>
      <c r="G11" s="74"/>
      <c r="H11" s="74"/>
      <c r="I11" s="74"/>
      <c r="J11" s="74"/>
      <c r="K11" s="74"/>
      <c r="L11" s="74"/>
    </row>
    <row r="12" spans="1:12" ht="37.5" customHeigh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3" spans="1:12" ht="19.5" x14ac:dyDescent="0.35">
      <c r="A13" s="74"/>
      <c r="B13" s="74"/>
      <c r="C13" s="96" t="s">
        <v>402</v>
      </c>
      <c r="D13" s="100">
        <f>(0.013*D4*D5^4/(D6*D3)+D9*D5^3/(24*D6*D3)*(3*D10/D5-4*D10^3/D5^3))/10000</f>
        <v>5.7073695808258922</v>
      </c>
      <c r="E13" s="74" t="s">
        <v>352</v>
      </c>
      <c r="F13" s="74"/>
      <c r="G13" s="74"/>
      <c r="H13" s="74"/>
      <c r="I13" s="74"/>
      <c r="J13" s="74"/>
      <c r="K13" s="74"/>
      <c r="L13" s="74"/>
    </row>
    <row r="14" spans="1:12" x14ac:dyDescent="0.3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</row>
    <row r="15" spans="1:12" ht="18" x14ac:dyDescent="0.35">
      <c r="A15" s="74"/>
      <c r="B15" s="74"/>
      <c r="C15" s="96" t="s">
        <v>404</v>
      </c>
      <c r="D15" s="103">
        <f>0.013*D4*D5^4/(D6*D7*10000)</f>
        <v>0.10465841706081082</v>
      </c>
      <c r="E15" s="74" t="s">
        <v>314</v>
      </c>
      <c r="F15" s="74"/>
      <c r="G15" s="74"/>
      <c r="H15" s="74"/>
      <c r="I15" s="74"/>
      <c r="J15" s="74"/>
      <c r="K15" s="74"/>
      <c r="L15" s="74"/>
    </row>
    <row r="16" spans="1:12" ht="18" x14ac:dyDescent="0.35">
      <c r="A16" s="74"/>
      <c r="B16" s="74"/>
      <c r="C16" s="96" t="s">
        <v>403</v>
      </c>
      <c r="D16" s="103">
        <f>D9*D5^3/(24*D6*D7*10000)*(3*D10/D5-4*D10^3/D5^3)</f>
        <v>0.7767886224489795</v>
      </c>
      <c r="E16" s="74" t="s">
        <v>314</v>
      </c>
      <c r="F16" s="74"/>
      <c r="G16" s="74"/>
      <c r="H16" s="74"/>
      <c r="I16" s="74"/>
      <c r="J16" s="74"/>
      <c r="K16" s="74"/>
      <c r="L16" s="74"/>
    </row>
    <row r="17" spans="1:13" ht="18.75" x14ac:dyDescent="0.35">
      <c r="A17" s="74"/>
      <c r="B17" s="74"/>
      <c r="C17" s="96" t="s">
        <v>398</v>
      </c>
      <c r="D17" s="100">
        <f>D15+D16</f>
        <v>0.88144703950979031</v>
      </c>
      <c r="E17" s="102" t="str">
        <f>IF(D17&gt;=F17,"мм &gt;[f] =","мм &lt;[f] =")</f>
        <v>мм &lt;[f] =</v>
      </c>
      <c r="F17" s="100">
        <f>D3</f>
        <v>2</v>
      </c>
      <c r="G17" s="74" t="s">
        <v>314</v>
      </c>
      <c r="H17" s="186" t="str">
        <f>IF(D17&gt;F17,"Не удовлетворяет условию прогиба","Удовлетворяет условию прогиба")</f>
        <v>Удовлетворяет условию прогиба</v>
      </c>
      <c r="I17" s="187"/>
      <c r="J17" s="187"/>
      <c r="K17" s="187"/>
      <c r="L17" s="188"/>
      <c r="M17" s="37"/>
    </row>
    <row r="18" spans="1:13" ht="18" x14ac:dyDescent="0.35">
      <c r="A18" s="74"/>
      <c r="B18" s="74"/>
      <c r="C18" s="104"/>
      <c r="D18" s="103"/>
      <c r="E18" s="74"/>
      <c r="F18" s="74"/>
      <c r="G18" s="74"/>
      <c r="H18" s="105" t="s">
        <v>418</v>
      </c>
      <c r="I18" s="105"/>
      <c r="J18" s="105"/>
      <c r="K18" s="105"/>
      <c r="L18" s="106">
        <f>D17/F17</f>
        <v>0.44072351975489515</v>
      </c>
    </row>
    <row r="19" spans="1:13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</row>
    <row r="20" spans="1:13" ht="18.75" x14ac:dyDescent="0.3">
      <c r="A20" s="74"/>
      <c r="B20" s="76" t="s">
        <v>414</v>
      </c>
      <c r="C20" s="96"/>
      <c r="D20" s="100"/>
      <c r="E20" s="102"/>
      <c r="F20" s="100"/>
      <c r="G20" s="74"/>
      <c r="H20" s="107"/>
      <c r="I20" s="74"/>
      <c r="J20" s="74"/>
      <c r="K20" s="74"/>
      <c r="L20" s="74"/>
    </row>
    <row r="21" spans="1:13" ht="16.5" customHeight="1" x14ac:dyDescent="0.3">
      <c r="A21" s="74"/>
      <c r="B21" s="185" t="s">
        <v>415</v>
      </c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23"/>
    </row>
    <row r="22" spans="1:13" x14ac:dyDescent="0.3">
      <c r="A22" s="74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23"/>
    </row>
    <row r="23" spans="1:13" x14ac:dyDescent="0.3">
      <c r="A23" s="74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23"/>
    </row>
    <row r="24" spans="1:13" x14ac:dyDescent="0.3">
      <c r="A24" s="74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33"/>
    </row>
    <row r="25" spans="1:13" ht="19.5" customHeight="1" x14ac:dyDescent="0.3">
      <c r="A25" s="74"/>
      <c r="B25" s="185" t="str">
        <f>IF(AND('6'!G21="Удовлетворяет условию прочности",'7'!H27="Удовлетворяет условию прогиба",'8'!G29="Удовлетворяет условию прочности",'9'!H22="Удовлетворяет условию прогиба",'10'!H17="Удовлетворяет условию прогиба"),"Из результатов расчета следует, что жесткостные характеристики профилей достаточны"&amp;" - перемещения и напряжения в конструкции не превышают допустимые при условии соблюдения всех рекомендаций и требований по сборке и монтажу конструкций.","Из результатов расчета следует, что жесткостные и геометрические характеристики профилей недостаточны, необходимо рассмотреть возможность применения других профилей и выполнить перерасчет.")</f>
        <v>Из результатов расчета следует, что жесткостные характеристики профилей достаточны - перемещения и напряжения в конструкции не превышают допустимые при условии соблюдения всех рекомендаций и требований по сборке и монтажу конструкций.</v>
      </c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23"/>
    </row>
    <row r="26" spans="1:13" x14ac:dyDescent="0.3">
      <c r="A26" s="74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23"/>
    </row>
    <row r="27" spans="1:13" x14ac:dyDescent="0.3">
      <c r="A27" s="74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23"/>
    </row>
    <row r="28" spans="1:13" x14ac:dyDescent="0.3">
      <c r="A28" s="74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23"/>
    </row>
    <row r="29" spans="1:13" x14ac:dyDescent="0.3">
      <c r="A29" s="74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23"/>
    </row>
    <row r="30" spans="1:13" x14ac:dyDescent="0.3">
      <c r="A30" s="74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23"/>
    </row>
    <row r="31" spans="1:13" ht="49.5" customHeight="1" x14ac:dyDescent="0.3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24" t="str">
        <f ca="1">MID(CELL("имяфайла",T48),SEARCH("]",CELL("имяфайла",T48))+1,255)&amp;"/10"</f>
        <v>10/10</v>
      </c>
    </row>
    <row r="32" spans="1:13" ht="30" customHeight="1" x14ac:dyDescent="0.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</sheetData>
  <sheetProtection password="C737" sheet="1" objects="1" scenarios="1"/>
  <protectedRanges>
    <protectedRange sqref="B21:L27" name="Диапазон1"/>
  </protectedRanges>
  <mergeCells count="3">
    <mergeCell ref="H17:L17"/>
    <mergeCell ref="B21:L24"/>
    <mergeCell ref="B25:L27"/>
  </mergeCells>
  <conditionalFormatting sqref="H20">
    <cfRule type="cellIs" dxfId="7" priority="11" operator="equal">
      <formula>"не удовлетворяет условию прочности"</formula>
    </cfRule>
    <cfRule type="cellIs" dxfId="6" priority="12" operator="equal">
      <formula>"удовлетворяет условию прочности"</formula>
    </cfRule>
  </conditionalFormatting>
  <conditionalFormatting sqref="H17:L17">
    <cfRule type="cellIs" dxfId="5" priority="5" operator="equal">
      <formula>"не удовлетворяет условию прогиба"</formula>
    </cfRule>
    <cfRule type="cellIs" dxfId="4" priority="6" operator="equal">
      <formula>"удовлетворяет условию прогиба"</formula>
    </cfRule>
  </conditionalFormatting>
  <conditionalFormatting sqref="M17">
    <cfRule type="expression" dxfId="3" priority="3">
      <formula>$M$17&lt;0</formula>
    </cfRule>
    <cfRule type="expression" dxfId="2" priority="4">
      <formula>$M$17&gt;0</formula>
    </cfRule>
  </conditionalFormatting>
  <conditionalFormatting sqref="L18">
    <cfRule type="expression" dxfId="1" priority="1">
      <formula>$L$18&gt;1</formula>
    </cfRule>
    <cfRule type="expression" dxfId="0" priority="2">
      <formula>$L$18&lt;1</formula>
    </cfRule>
  </conditionalFormatting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27</vt:i4>
      </vt:variant>
    </vt:vector>
  </HeadingPairs>
  <TitlesOfParts>
    <vt:vector size="39" baseType="lpstr">
      <vt:lpstr>Данные</vt:lpstr>
      <vt:lpstr>ГХ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B</vt:lpstr>
      <vt:lpstr>H</vt:lpstr>
      <vt:lpstr>артикул_МП40</vt:lpstr>
      <vt:lpstr>Город</vt:lpstr>
      <vt:lpstr>импосты_МП50</vt:lpstr>
      <vt:lpstr>импосты_МП640</vt:lpstr>
      <vt:lpstr>импосты_МП640v2</vt:lpstr>
      <vt:lpstr>'1'!Область_печати</vt:lpstr>
      <vt:lpstr>'10'!Область_печати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ригели_МП50</vt:lpstr>
      <vt:lpstr>ригели_МП640</vt:lpstr>
      <vt:lpstr>ригели_МП640v2</vt:lpstr>
      <vt:lpstr>серии</vt:lpstr>
      <vt:lpstr>стойки_МП50</vt:lpstr>
      <vt:lpstr>стойки_МП640</vt:lpstr>
      <vt:lpstr>стойки_МП640v2</vt:lpstr>
      <vt:lpstr>тип_конструкции</vt:lpstr>
      <vt:lpstr>тип_местности</vt:lpstr>
      <vt:lpstr>участок_стены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Алмас Ф. Муллануров</dc:creator>
  <cp:lastModifiedBy>Егор Д. Батраков</cp:lastModifiedBy>
  <cp:lastPrinted>2022-09-15T05:00:06Z</cp:lastPrinted>
  <dcterms:created xsi:type="dcterms:W3CDTF">2021-06-12T16:20:09Z</dcterms:created>
  <dcterms:modified xsi:type="dcterms:W3CDTF">2026-09-23T06:02:32Z</dcterms:modified>
</cp:coreProperties>
</file>