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737" lockStructure="1"/>
  <bookViews>
    <workbookView xWindow="480" yWindow="60" windowWidth="27795" windowHeight="12090" firstSheet="2" activeTab="4"/>
  </bookViews>
  <sheets>
    <sheet name="Данные" sheetId="4" state="hidden" r:id="rId1"/>
    <sheet name="ГХ" sheetId="5" state="hidden" r:id="rId2"/>
    <sheet name="1" sheetId="1" r:id="rId3"/>
    <sheet name="2" sheetId="2" r:id="rId4"/>
    <sheet name="3" sheetId="3" r:id="rId5"/>
    <sheet name="4" sheetId="6" r:id="rId6"/>
    <sheet name="5" sheetId="7" r:id="rId7"/>
    <sheet name="6" sheetId="14" r:id="rId8"/>
    <sheet name="7" sheetId="13" r:id="rId9"/>
    <sheet name="8" sheetId="9" r:id="rId10"/>
    <sheet name="9" sheetId="10" r:id="rId11"/>
    <sheet name="10" sheetId="11" r:id="rId12"/>
    <sheet name="11" sheetId="12" r:id="rId13"/>
  </sheets>
  <definedNames>
    <definedName name="B">'3'!$C$23</definedName>
    <definedName name="H">'3'!$C$17</definedName>
    <definedName name="Город" localSheetId="12">ГОРОД_ВР[Город]</definedName>
    <definedName name="Город" localSheetId="7">ГОРОД_ВР[Город]</definedName>
    <definedName name="Город" localSheetId="8">ГОРОД_ВР[Город]</definedName>
    <definedName name="Город">ГОРОД_ВР[Город]</definedName>
    <definedName name="импосты_МП50">импосты_МП50_ГХ[Артикул]</definedName>
    <definedName name="_xlnm.Print_Area" localSheetId="2">'1'!$A$1:$N$37</definedName>
    <definedName name="_xlnm.Print_Area" localSheetId="11">'10'!$A$1:$N$32</definedName>
    <definedName name="_xlnm.Print_Area" localSheetId="12">'11'!$A$1:$N$31</definedName>
    <definedName name="_xlnm.Print_Area" localSheetId="3">'2'!$A$1:$K$31</definedName>
    <definedName name="_xlnm.Print_Area" localSheetId="4">'3'!$A$1:$N$34</definedName>
    <definedName name="_xlnm.Print_Area" localSheetId="5">'4'!$A$1:$P$33</definedName>
    <definedName name="_xlnm.Print_Area" localSheetId="6">'5'!$A$1:$P$34</definedName>
    <definedName name="_xlnm.Print_Area" localSheetId="7">'6'!$A$1:$M$30</definedName>
    <definedName name="_xlnm.Print_Area" localSheetId="8">'7'!$A$1:$M$31</definedName>
    <definedName name="_xlnm.Print_Area" localSheetId="9">'8'!$A$1:$N$29</definedName>
    <definedName name="_xlnm.Print_Area" localSheetId="10">'9'!$A$1:$M$31</definedName>
    <definedName name="ригели_МП50">ригели_МП50_ГХ[Артикул]</definedName>
    <definedName name="стойки_МП40">стойки_МП40_ГХ[Артикул]</definedName>
    <definedName name="стойки_МП50">стойки_МП50_ГХ[Артикул]</definedName>
    <definedName name="тип_местности">Данные!$E$14:$G$14</definedName>
    <definedName name="участок_стены">Данные!$I$21:$I$22</definedName>
  </definedNames>
  <calcPr calcId="145621"/>
</workbook>
</file>

<file path=xl/calcChain.xml><?xml version="1.0" encoding="utf-8"?>
<calcChain xmlns="http://schemas.openxmlformats.org/spreadsheetml/2006/main">
  <c r="D9" i="12" l="1"/>
  <c r="J14" i="3" l="1"/>
  <c r="I14" i="3"/>
  <c r="D7" i="13" s="1"/>
  <c r="H14" i="3"/>
  <c r="G14" i="3"/>
  <c r="L14" i="3"/>
  <c r="K14" i="3"/>
  <c r="L3" i="5" l="1"/>
  <c r="D13" i="14"/>
  <c r="M3" i="5"/>
  <c r="M4" i="5"/>
  <c r="M5" i="5"/>
  <c r="M6" i="5"/>
  <c r="M7" i="5"/>
  <c r="M8" i="5"/>
  <c r="M9" i="5"/>
  <c r="M11" i="5"/>
  <c r="M12" i="5"/>
  <c r="M13" i="5"/>
  <c r="M14" i="5"/>
  <c r="M15" i="5"/>
  <c r="M16" i="5"/>
  <c r="M17" i="5"/>
  <c r="K25" i="5"/>
  <c r="L4" i="5"/>
  <c r="L5" i="5"/>
  <c r="L6" i="5"/>
  <c r="L7" i="5"/>
  <c r="L8" i="5"/>
  <c r="L9" i="5"/>
  <c r="L11" i="5"/>
  <c r="L12" i="5"/>
  <c r="L13" i="5"/>
  <c r="L14" i="5"/>
  <c r="L15" i="5"/>
  <c r="L16" i="5"/>
  <c r="L17" i="5"/>
  <c r="J25" i="5"/>
  <c r="G22" i="3"/>
  <c r="H22" i="3"/>
  <c r="I22" i="3"/>
  <c r="K22" i="3"/>
  <c r="J22" i="3"/>
  <c r="F22" i="3"/>
  <c r="E22" i="3"/>
  <c r="K34" i="5"/>
  <c r="K35" i="5"/>
  <c r="K36" i="5"/>
  <c r="K37" i="5"/>
  <c r="K38" i="5"/>
  <c r="K39" i="5"/>
  <c r="K40" i="5"/>
  <c r="K26" i="5"/>
  <c r="K27" i="5"/>
  <c r="K28" i="5"/>
  <c r="K29" i="5"/>
  <c r="K30" i="5"/>
  <c r="K31" i="5"/>
  <c r="K32" i="5"/>
  <c r="J34" i="5"/>
  <c r="J35" i="5"/>
  <c r="J36" i="5"/>
  <c r="J37" i="5"/>
  <c r="J38" i="5"/>
  <c r="J39" i="5"/>
  <c r="J40" i="5"/>
  <c r="J26" i="5"/>
  <c r="J27" i="5"/>
  <c r="J28" i="5"/>
  <c r="J29" i="5"/>
  <c r="J30" i="5"/>
  <c r="J31" i="5"/>
  <c r="J32" i="5"/>
  <c r="F14" i="3"/>
  <c r="E14" i="3"/>
  <c r="D27" i="6" l="1"/>
  <c r="D29" i="6" l="1"/>
  <c r="D28" i="6"/>
  <c r="D8" i="12"/>
  <c r="F27" i="14" l="1"/>
  <c r="D11" i="14"/>
  <c r="D13" i="9" l="1"/>
  <c r="D13" i="13"/>
  <c r="D16" i="3"/>
  <c r="M30" i="12" l="1"/>
  <c r="M31" i="11"/>
  <c r="L30" i="10"/>
  <c r="M28" i="9"/>
  <c r="L30" i="13"/>
  <c r="L29" i="14"/>
  <c r="O33" i="7"/>
  <c r="O32" i="6"/>
  <c r="M33" i="3"/>
  <c r="J30" i="2"/>
  <c r="F16" i="14" l="1"/>
  <c r="D22" i="14" l="1"/>
  <c r="D23" i="14" s="1"/>
  <c r="D26" i="14" s="1"/>
  <c r="D24" i="14"/>
  <c r="D27" i="14" l="1"/>
  <c r="E27" i="14" s="1"/>
  <c r="G27" i="14" l="1"/>
  <c r="K28" i="14"/>
  <c r="L15" i="3" s="1"/>
  <c r="D12" i="14"/>
  <c r="D17" i="13"/>
  <c r="D14" i="13"/>
  <c r="D15" i="14" l="1"/>
  <c r="D16" i="14"/>
  <c r="K17" i="14" l="1"/>
  <c r="K15" i="3" s="1"/>
  <c r="G16" i="14"/>
  <c r="E16" i="14"/>
  <c r="D27" i="10"/>
  <c r="D16" i="10"/>
  <c r="D6" i="13" l="1"/>
  <c r="D10" i="12" l="1"/>
  <c r="D11" i="11"/>
  <c r="D14" i="9"/>
  <c r="D12" i="10"/>
  <c r="D17" i="10"/>
  <c r="D16" i="9"/>
  <c r="D12" i="12" l="1"/>
  <c r="D13" i="11"/>
  <c r="E27" i="6" l="1"/>
  <c r="D11" i="10"/>
  <c r="D13" i="12" l="1"/>
  <c r="D14" i="12" s="1"/>
  <c r="D18" i="12" s="1"/>
  <c r="D15" i="12"/>
  <c r="D26" i="10"/>
  <c r="F22" i="12"/>
  <c r="D8" i="11"/>
  <c r="F21" i="11" s="1"/>
  <c r="D10" i="11"/>
  <c r="D21" i="12" l="1"/>
  <c r="D20" i="12"/>
  <c r="D24" i="10"/>
  <c r="D25" i="10" s="1"/>
  <c r="D23" i="10" s="1"/>
  <c r="E28" i="10" s="1"/>
  <c r="D18" i="9"/>
  <c r="D11" i="9"/>
  <c r="F27" i="9" s="1"/>
  <c r="D28" i="10" l="1"/>
  <c r="H23" i="3" s="1"/>
  <c r="D22" i="12"/>
  <c r="L23" i="12" l="1"/>
  <c r="G23" i="3" s="1"/>
  <c r="H22" i="12"/>
  <c r="E22" i="12"/>
  <c r="D15" i="7" l="1"/>
  <c r="D20" i="7" l="1"/>
  <c r="H32" i="7" s="1"/>
  <c r="H31" i="7"/>
  <c r="D18" i="13" l="1"/>
  <c r="D14" i="11"/>
  <c r="D17" i="9"/>
  <c r="D26" i="9" s="1"/>
  <c r="D15" i="10"/>
  <c r="D23" i="6"/>
  <c r="D18" i="6"/>
  <c r="D14" i="6"/>
  <c r="D13" i="6"/>
  <c r="D11" i="6"/>
  <c r="D12" i="6"/>
  <c r="E29" i="6" l="1"/>
  <c r="E28" i="6"/>
  <c r="G5" i="7"/>
  <c r="G6" i="7"/>
  <c r="D15" i="6"/>
  <c r="D19" i="6"/>
  <c r="H5" i="7"/>
  <c r="D7" i="6"/>
  <c r="D8" i="6" s="1"/>
  <c r="H6" i="7" l="1"/>
  <c r="F6" i="7"/>
  <c r="F5" i="7"/>
  <c r="E6" i="7"/>
  <c r="E5" i="7"/>
  <c r="F8" i="6"/>
  <c r="I5" i="7" l="1"/>
  <c r="D6" i="7"/>
  <c r="I6" i="7"/>
  <c r="D5" i="7"/>
  <c r="J3" i="4"/>
  <c r="J2" i="4"/>
  <c r="D31" i="7" l="1"/>
  <c r="D12" i="9" s="1"/>
  <c r="D11" i="7"/>
  <c r="D32" i="7" s="1"/>
  <c r="D12" i="7"/>
  <c r="D10" i="10" s="1"/>
  <c r="D14" i="10" s="1"/>
  <c r="D9" i="11"/>
  <c r="D12" i="13" l="1"/>
  <c r="D21" i="11"/>
  <c r="L22" i="11" s="1"/>
  <c r="D19" i="11"/>
  <c r="D23" i="9"/>
  <c r="D25" i="9"/>
  <c r="D27" i="9" s="1"/>
  <c r="L28" i="9" s="1"/>
  <c r="D9" i="10"/>
  <c r="E19" i="10" s="1"/>
  <c r="L6" i="1"/>
  <c r="D16" i="13" l="1"/>
  <c r="D20" i="13" s="1"/>
  <c r="D11" i="13"/>
  <c r="D19" i="10"/>
  <c r="F23" i="3" s="1"/>
  <c r="E15" i="3"/>
  <c r="E23" i="3"/>
  <c r="E21" i="11"/>
  <c r="H21" i="11"/>
  <c r="E27" i="9"/>
  <c r="H27" i="9"/>
  <c r="D29" i="10" l="1"/>
  <c r="K30" i="10" s="1"/>
  <c r="D21" i="13"/>
  <c r="E29" i="10" l="1"/>
  <c r="G29" i="10"/>
  <c r="K22" i="13"/>
  <c r="F15" i="3" s="1"/>
  <c r="G21" i="13"/>
  <c r="E21" i="13"/>
  <c r="B28" i="12" l="1"/>
</calcChain>
</file>

<file path=xl/comments1.xml><?xml version="1.0" encoding="utf-8"?>
<comments xmlns="http://schemas.openxmlformats.org/spreadsheetml/2006/main">
  <authors>
    <author>Алмас Ф. Муллануров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А - открытые побережья морей, озер и водохранилищ, сельские местности, в том числе с постройками высотой менее 10 м, пустыни, степи, лесостепи, тундра;
В - городские территории, лесные массивы и другие местности, равномерно покрытые препятствиями высотой более 10 м;
С - городские районы с плотной застройкой зданиями высотой более 25 м.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04"/>
          </rPr>
          <t>Алмас Ф. Муллануров:</t>
        </r>
        <r>
          <rPr>
            <sz val="9"/>
            <color indexed="81"/>
            <rFont val="Tahoma"/>
            <family val="2"/>
            <charset val="204"/>
          </rPr>
          <t xml:space="preserve">
двухпролетная с равными пролетам</t>
        </r>
      </text>
    </comment>
    <comment ref="C20" authorId="0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9" authorId="0">
      <text>
        <r>
          <rPr>
            <sz val="9"/>
            <color indexed="81"/>
            <rFont val="Tahoma"/>
            <family val="2"/>
            <charset val="204"/>
          </rPr>
          <t>8.2.6 Нормативные значения горизонтальных нагрузок на поручни перил лестниц и балконов следует принимать:
а) для жилых зданий, дошкольных организаций, домов отдыха, санаториев, больниц и других лечебных учреждений - 0,5 кН/м;
б) для трибун и спортивных залов - 1,5 кН/м;
в) для других зданий и помещений - 0,8 кН/м или по заданию на проектирование;
г) для обслуживающих площадок, мостиков, ограждений крыш, предназначенных для непродолжительного пребывания людей, нормативное значение горизонтальной нагрузки на поручни перил следует принимать 0,3 кН/м, если по заданию на проектирование на основании технологических решений не требуется большее значение нагрузки.</t>
        </r>
      </text>
    </comment>
  </commentList>
</comments>
</file>

<file path=xl/comments2.xml><?xml version="1.0" encoding="utf-8"?>
<comments xmlns="http://schemas.openxmlformats.org/spreadsheetml/2006/main">
  <authors>
    <author>Алмас Ф. Муллануров</author>
  </authors>
  <commentList>
    <comment ref="D22" authorId="0">
      <text>
        <r>
          <rPr>
            <sz val="9"/>
            <color indexed="81"/>
            <rFont val="Tahoma"/>
            <family val="2"/>
            <charset val="204"/>
          </rPr>
          <t>принимается из значений "пролет сверху" и "пролет снизу", введенных для расчета ригеля на листе 3</t>
        </r>
      </text>
    </comment>
  </commentList>
</comments>
</file>

<file path=xl/sharedStrings.xml><?xml version="1.0" encoding="utf-8"?>
<sst xmlns="http://schemas.openxmlformats.org/spreadsheetml/2006/main" count="1036" uniqueCount="589">
  <si>
    <t>Контактное лицо</t>
  </si>
  <si>
    <t>Телефон</t>
  </si>
  <si>
    <t>E-mail</t>
  </si>
  <si>
    <t>Дата</t>
  </si>
  <si>
    <t>Статический расчет светопрозрачных конструкций</t>
  </si>
  <si>
    <t>Подразделение</t>
  </si>
  <si>
    <t>Проект</t>
  </si>
  <si>
    <t>Конструкция</t>
  </si>
  <si>
    <t>Система</t>
  </si>
  <si>
    <t>Заказчик</t>
  </si>
  <si>
    <t>Город</t>
  </si>
  <si>
    <t>Ветровой Район</t>
  </si>
  <si>
    <t>Ангарск</t>
  </si>
  <si>
    <t>Арзамас</t>
  </si>
  <si>
    <t>Артем</t>
  </si>
  <si>
    <t>Архангельск</t>
  </si>
  <si>
    <t>Астана, Казахстан</t>
  </si>
  <si>
    <t>Астрахань</t>
  </si>
  <si>
    <t>Ачинск</t>
  </si>
  <si>
    <t>Балаково</t>
  </si>
  <si>
    <t>Балашиха</t>
  </si>
  <si>
    <t>Барнаул</t>
  </si>
  <si>
    <t>Батайск</t>
  </si>
  <si>
    <t>Белгород</t>
  </si>
  <si>
    <t>Бийск</t>
  </si>
  <si>
    <t>Благовещенск</t>
  </si>
  <si>
    <t>Братск</t>
  </si>
  <si>
    <t>Брянск</t>
  </si>
  <si>
    <t>Великие Луки</t>
  </si>
  <si>
    <t>Великий Новгород</t>
  </si>
  <si>
    <t>Владивосток</t>
  </si>
  <si>
    <t>Владимир</t>
  </si>
  <si>
    <t>Владикавказ</t>
  </si>
  <si>
    <t>Волгоград</t>
  </si>
  <si>
    <t>Волжский (Волгоградская обл.)</t>
  </si>
  <si>
    <t>Волжский (Самарская обл.)</t>
  </si>
  <si>
    <t>Волгодонск</t>
  </si>
  <si>
    <t>Вологда</t>
  </si>
  <si>
    <t>Воронеж</t>
  </si>
  <si>
    <t>Грозный</t>
  </si>
  <si>
    <t>Дербент</t>
  </si>
  <si>
    <t>Дзержинск</t>
  </si>
  <si>
    <t>Димитровград</t>
  </si>
  <si>
    <t>Екатеринбург</t>
  </si>
  <si>
    <t>Елец</t>
  </si>
  <si>
    <t>Железнодорожный</t>
  </si>
  <si>
    <t>Жуковский</t>
  </si>
  <si>
    <t>Златоуст</t>
  </si>
  <si>
    <t>Иваново</t>
  </si>
  <si>
    <t>Ижевск</t>
  </si>
  <si>
    <t>Йошкар-Ола</t>
  </si>
  <si>
    <t>Иркутск</t>
  </si>
  <si>
    <t>Казань</t>
  </si>
  <si>
    <t>Калининград</t>
  </si>
  <si>
    <t>Каменск-Уральский</t>
  </si>
  <si>
    <t>Калуга</t>
  </si>
  <si>
    <t>Камышин</t>
  </si>
  <si>
    <t>Кемерово</t>
  </si>
  <si>
    <t>Киров</t>
  </si>
  <si>
    <t>Киселевск</t>
  </si>
  <si>
    <t>Ковров</t>
  </si>
  <si>
    <t>Коломна</t>
  </si>
  <si>
    <t>Комсомольск-на-Амуре</t>
  </si>
  <si>
    <t>Копейск</t>
  </si>
  <si>
    <t>Кострома</t>
  </si>
  <si>
    <t>Красногорск</t>
  </si>
  <si>
    <t>Краснодар</t>
  </si>
  <si>
    <t>Красноярск</t>
  </si>
  <si>
    <t>Курган</t>
  </si>
  <si>
    <t>Курск</t>
  </si>
  <si>
    <t>Кызыл</t>
  </si>
  <si>
    <t>Ленинск-Кузнецкий</t>
  </si>
  <si>
    <t>Липецк</t>
  </si>
  <si>
    <t>Люберцы</t>
  </si>
  <si>
    <t>Магадан</t>
  </si>
  <si>
    <t>Магнитогорск</t>
  </si>
  <si>
    <t>Майкоп</t>
  </si>
  <si>
    <t>Махачкала</t>
  </si>
  <si>
    <t>Миасс</t>
  </si>
  <si>
    <t>Москва</t>
  </si>
  <si>
    <t>Мурманск</t>
  </si>
  <si>
    <t>Муром</t>
  </si>
  <si>
    <t>Мытищи</t>
  </si>
  <si>
    <t>Набережные Челны</t>
  </si>
  <si>
    <t>Находка</t>
  </si>
  <si>
    <t>Невинномысск</t>
  </si>
  <si>
    <t>Нефтекамск</t>
  </si>
  <si>
    <t>Нефтеюганск</t>
  </si>
  <si>
    <t>Нижневартовск</t>
  </si>
  <si>
    <t>Нижнекамск</t>
  </si>
  <si>
    <t>Нижний Новгород</t>
  </si>
  <si>
    <t>Нижний Тагил</t>
  </si>
  <si>
    <t>Новокузнецк</t>
  </si>
  <si>
    <t>Новокуйбышевск</t>
  </si>
  <si>
    <t>Новомосковск</t>
  </si>
  <si>
    <t>Новороссийск</t>
  </si>
  <si>
    <t>Новосибирск</t>
  </si>
  <si>
    <t>Новочебоксарск</t>
  </si>
  <si>
    <t>Новочеркасск</t>
  </si>
  <si>
    <t>Новошахтинск</t>
  </si>
  <si>
    <t>Новый Уренгой</t>
  </si>
  <si>
    <t>Ногинск</t>
  </si>
  <si>
    <t>Норильск</t>
  </si>
  <si>
    <t>Ноябрьск</t>
  </si>
  <si>
    <t>Обниск</t>
  </si>
  <si>
    <t>Одинцово</t>
  </si>
  <si>
    <t>Омск</t>
  </si>
  <si>
    <t>Орёл</t>
  </si>
  <si>
    <t>Оренбург</t>
  </si>
  <si>
    <t>Орехово-Зуево</t>
  </si>
  <si>
    <t>Орск</t>
  </si>
  <si>
    <t>Пенза</t>
  </si>
  <si>
    <t>Первоуральск</t>
  </si>
  <si>
    <t>Пермь</t>
  </si>
  <si>
    <t>Петрозаводск</t>
  </si>
  <si>
    <t>Петропавловск-Камчатский</t>
  </si>
  <si>
    <t>Подольск</t>
  </si>
  <si>
    <t>Прокопьевск</t>
  </si>
  <si>
    <t>Псков</t>
  </si>
  <si>
    <t>Ростов-на-Дону</t>
  </si>
  <si>
    <t>Рубцовск</t>
  </si>
  <si>
    <t>Рыбинск</t>
  </si>
  <si>
    <t>Рязань</t>
  </si>
  <si>
    <t>Салават</t>
  </si>
  <si>
    <t>Самара</t>
  </si>
  <si>
    <t>Санкт-Петербург</t>
  </si>
  <si>
    <t>Саранск</t>
  </si>
  <si>
    <t>Саратов</t>
  </si>
  <si>
    <t>Севастополь</t>
  </si>
  <si>
    <t>Северодвинск</t>
  </si>
  <si>
    <t>Серпухов</t>
  </si>
  <si>
    <t>Симферополь</t>
  </si>
  <si>
    <t>Смоленск</t>
  </si>
  <si>
    <t>Сочи</t>
  </si>
  <si>
    <t>Ставрополь</t>
  </si>
  <si>
    <t>Старый Оскол</t>
  </si>
  <si>
    <t>Стерлитамак</t>
  </si>
  <si>
    <t>Сургут</t>
  </si>
  <si>
    <t>Сызрань</t>
  </si>
  <si>
    <t>Сыктывкар</t>
  </si>
  <si>
    <t>Таганрог</t>
  </si>
  <si>
    <t>Тамбов</t>
  </si>
  <si>
    <t>Тверь</t>
  </si>
  <si>
    <t>Тобольск</t>
  </si>
  <si>
    <t>Тольятти</t>
  </si>
  <si>
    <t>Томск</t>
  </si>
  <si>
    <t>Тула</t>
  </si>
  <si>
    <t>Тюмень</t>
  </si>
  <si>
    <t>Улан-Удэ</t>
  </si>
  <si>
    <t>Ульяновск</t>
  </si>
  <si>
    <t>Уссурийск</t>
  </si>
  <si>
    <t>Уфа</t>
  </si>
  <si>
    <t>Ухта</t>
  </si>
  <si>
    <t>Хабаровск</t>
  </si>
  <si>
    <t>Хасавюрт</t>
  </si>
  <si>
    <t>Химки</t>
  </si>
  <si>
    <t>Чебоксары</t>
  </si>
  <si>
    <t>Челябинск</t>
  </si>
  <si>
    <t>Чита</t>
  </si>
  <si>
    <t>Череповец</t>
  </si>
  <si>
    <t>Шахты</t>
  </si>
  <si>
    <t>Щелково</t>
  </si>
  <si>
    <t>Электросталь</t>
  </si>
  <si>
    <t>Энгельс</t>
  </si>
  <si>
    <t>Элиста</t>
  </si>
  <si>
    <t>Южно-Сахалинск</t>
  </si>
  <si>
    <t>Ярославль</t>
  </si>
  <si>
    <t>Якутск</t>
  </si>
  <si>
    <t>III</t>
  </si>
  <si>
    <t>II</t>
  </si>
  <si>
    <t>IV</t>
  </si>
  <si>
    <t>I</t>
  </si>
  <si>
    <t>V</t>
  </si>
  <si>
    <t>VI</t>
  </si>
  <si>
    <t>VII</t>
  </si>
  <si>
    <t>W0, кПа</t>
  </si>
  <si>
    <t>Ia</t>
  </si>
  <si>
    <t>Содержание</t>
  </si>
  <si>
    <t>Лист</t>
  </si>
  <si>
    <t>Наименование</t>
  </si>
  <si>
    <t>Примечания</t>
  </si>
  <si>
    <t>Ответственность и конфиденциальность</t>
  </si>
  <si>
    <t>Заявление об ограничении ответственности</t>
  </si>
  <si>
    <t>Расчеты, представленные в этом документе, являются предварительными и носят рекомендательный характер. АО «ТАТПРОФ» настоящим заявляет, что не несет какой-либо ответственности за точность или полноту представленных материалов и за все последствия их использования. Лица, использующие данные материалы, несут ответственность по произведенным ими работам, включая конструкторские, расчетные, строительные и иные работы  в соответствии с законодательством РФ, заключенными ими с контрагентами договорами,  правилами, стандартами, требованиями и иными нормативными актами, действующими на территории РФ.</t>
  </si>
  <si>
    <t>Конфиденциальность</t>
  </si>
  <si>
    <t>Ведомость прилагаемых документов</t>
  </si>
  <si>
    <t>Ведомость ссылочных документов</t>
  </si>
  <si>
    <t>Примечание</t>
  </si>
  <si>
    <t>СП 20.13330.2016 "Нагрузки и воздействия"</t>
  </si>
  <si>
    <t>СП 128.13330.2016 "Алюминиевые конструкции"</t>
  </si>
  <si>
    <t>СП 426.1325800.2020 "КОНСТРУКЦИИ ОГРАЖДАЮЩИЕ СВЕТОПРОЗРАЧНЫЕ ЗДАНИЙ И СООРУЖЕНИЙ. Правила проектирования"</t>
  </si>
  <si>
    <t>[1]</t>
  </si>
  <si>
    <t>[2]</t>
  </si>
  <si>
    <t>[3]</t>
  </si>
  <si>
    <t>Исходные данные</t>
  </si>
  <si>
    <t>Содержание данного документа является конфиденциальным и предназначено исключительно для указанного адресата. Копирование, распространение, публикация или другое использование содержания данного документа запрещены. Нарушение данного положения несет за собой обязанность нарушившей стороны  компенсировать АО «ТАТПРОФ» причиненные убытки.</t>
  </si>
  <si>
    <t>Тип местности</t>
  </si>
  <si>
    <t>Объект:</t>
  </si>
  <si>
    <t>Конструкция:</t>
  </si>
  <si>
    <t>Стойка</t>
  </si>
  <si>
    <t>Схема закрепления</t>
  </si>
  <si>
    <t>тип стойки</t>
  </si>
  <si>
    <t>Размер здания, м</t>
  </si>
  <si>
    <t>Высота здания, м</t>
  </si>
  <si>
    <t>Суммарная толщина стекол в заполнении, мм</t>
  </si>
  <si>
    <t>Расстояние между точками закрепления, мм</t>
  </si>
  <si>
    <t>Пролет слева, мм</t>
  </si>
  <si>
    <t>Пролет справа, мм</t>
  </si>
  <si>
    <t>Ix, см4</t>
  </si>
  <si>
    <t>Wx, см3</t>
  </si>
  <si>
    <t>Iy, см4</t>
  </si>
  <si>
    <t>Wy, см3</t>
  </si>
  <si>
    <t>x, мм</t>
  </si>
  <si>
    <t>y, мм</t>
  </si>
  <si>
    <t>R, МПа</t>
  </si>
  <si>
    <t>Ригель</t>
  </si>
  <si>
    <t>Длина ригеля, мм</t>
  </si>
  <si>
    <t>Пролет сверху, мм</t>
  </si>
  <si>
    <t>Пролет снизу, мм</t>
  </si>
  <si>
    <t>Участок стены</t>
  </si>
  <si>
    <t>Перильная нагрузка</t>
  </si>
  <si>
    <t>Тип здания</t>
  </si>
  <si>
    <t>Приложить перильную нагрузку на ригель</t>
  </si>
  <si>
    <t>Табл. 11.1 СП 20.13330.2016</t>
  </si>
  <si>
    <t>Таблица 11.3 СП 20.13330.2016</t>
  </si>
  <si>
    <t>Параметр</t>
  </si>
  <si>
    <t>A</t>
  </si>
  <si>
    <t>B</t>
  </si>
  <si>
    <t>C</t>
  </si>
  <si>
    <t>α</t>
  </si>
  <si>
    <t>k10</t>
  </si>
  <si>
    <t>ζ10</t>
  </si>
  <si>
    <t>Высота расположения конструкции, м</t>
  </si>
  <si>
    <t>Участок</t>
  </si>
  <si>
    <t>Угловой (А)</t>
  </si>
  <si>
    <t>Рядовой (B)</t>
  </si>
  <si>
    <t>Ср-</t>
  </si>
  <si>
    <t>Схема закрепления стойки</t>
  </si>
  <si>
    <t>однопролётная</t>
  </si>
  <si>
    <t>Артикул</t>
  </si>
  <si>
    <t>выбрать</t>
  </si>
  <si>
    <t>ввести</t>
  </si>
  <si>
    <t>п. 11.1.6 [1]</t>
  </si>
  <si>
    <t>Тип стойки</t>
  </si>
  <si>
    <t>угловая</t>
  </si>
  <si>
    <t>рядовая</t>
  </si>
  <si>
    <t>перильная нагрузка по 8.2.6 СП 20.13330.2016</t>
  </si>
  <si>
    <t>тип здания</t>
  </si>
  <si>
    <t>перильная нагрузка P, кН/м</t>
  </si>
  <si>
    <t>а</t>
  </si>
  <si>
    <t>б</t>
  </si>
  <si>
    <t>в</t>
  </si>
  <si>
    <t>г</t>
  </si>
  <si>
    <t>приложение перильной нагрузки</t>
  </si>
  <si>
    <t>да</t>
  </si>
  <si>
    <t>нет</t>
  </si>
  <si>
    <t>Приложить перильную нагрузку на стойку</t>
  </si>
  <si>
    <t>по 8.2.6 [1]</t>
  </si>
  <si>
    <t>Сбор нагрузок</t>
  </si>
  <si>
    <t>1. Пиковая ветровая нагрузка</t>
  </si>
  <si>
    <t>по формуле 11.10 [1]</t>
  </si>
  <si>
    <t>1.1 Нормативное значение ветрового давления</t>
  </si>
  <si>
    <t>Ветровой район</t>
  </si>
  <si>
    <t>Ветровое давление</t>
  </si>
  <si>
    <t>п. 11.1.4 [1]</t>
  </si>
  <si>
    <t>Н/мм2, табл. 11.1 [1]</t>
  </si>
  <si>
    <t>1.2 Коэффициент изменения давления ветра k(ze)</t>
  </si>
  <si>
    <t>Эквивалентная высота Ze</t>
  </si>
  <si>
    <t>Коэффициент α</t>
  </si>
  <si>
    <t>1.3 Коэффициент пульсации давления ветра ζ(ze)</t>
  </si>
  <si>
    <t>Коэффициент ζ10</t>
  </si>
  <si>
    <t>1.4 Пиковый аэродинамический коэффициент Сp+(-), для прямоугольных в плане зданий</t>
  </si>
  <si>
    <t>Отрицательное значение Сp-</t>
  </si>
  <si>
    <t>Положительное значение Сp+</t>
  </si>
  <si>
    <t>1.5 Коэффициент корреляции ветровой нагрузки V+(-)</t>
  </si>
  <si>
    <t>Стойки</t>
  </si>
  <si>
    <t>Ригеля</t>
  </si>
  <si>
    <t>А, м2</t>
  </si>
  <si>
    <t>v+</t>
  </si>
  <si>
    <t>v-</t>
  </si>
  <si>
    <t>Таблица 11.8 СП 20.13330.2016</t>
  </si>
  <si>
    <t>Сp+(-)</t>
  </si>
  <si>
    <t>V+(-)</t>
  </si>
  <si>
    <t>кПа     =</t>
  </si>
  <si>
    <t>Н/мм2</t>
  </si>
  <si>
    <t>для стойки</t>
  </si>
  <si>
    <t>для ригеля</t>
  </si>
  <si>
    <t>по пункту 11.1.5 [1]</t>
  </si>
  <si>
    <r>
      <t>k</t>
    </r>
    <r>
      <rPr>
        <vertAlign val="subscript"/>
        <sz val="12"/>
        <color theme="1"/>
        <rFont val="ISOCPEUR"/>
        <family val="2"/>
        <charset val="204"/>
      </rPr>
      <t>10</t>
    </r>
  </si>
  <si>
    <r>
      <t>ξ</t>
    </r>
    <r>
      <rPr>
        <vertAlign val="subscript"/>
        <sz val="12"/>
        <color theme="1"/>
        <rFont val="ISOCPEUR"/>
        <family val="2"/>
        <charset val="204"/>
      </rPr>
      <t>10</t>
    </r>
  </si>
  <si>
    <r>
      <t>Коэффициент k</t>
    </r>
    <r>
      <rPr>
        <vertAlign val="subscript"/>
        <sz val="12"/>
        <color theme="1"/>
        <rFont val="ISOCPEUR"/>
        <family val="2"/>
        <charset val="204"/>
      </rPr>
      <t>10</t>
    </r>
    <r>
      <rPr>
        <sz val="12"/>
        <color theme="1"/>
        <rFont val="ISOCPEUR"/>
        <family val="2"/>
        <charset val="204"/>
      </rPr>
      <t>=</t>
    </r>
  </si>
  <si>
    <t>по таблице 11.3 [1]</t>
  </si>
  <si>
    <t>по В.1.17 а) [1]</t>
  </si>
  <si>
    <t>по табл. В.12 [1]</t>
  </si>
  <si>
    <t>А, м2 (грузовая площадь)</t>
  </si>
  <si>
    <t>Расчетное значение пиковой ветровой нагрузки принимается согласно п. 4.2 [1] и преамбуле раздела 11 [1]:</t>
  </si>
  <si>
    <r>
      <t>γ</t>
    </r>
    <r>
      <rPr>
        <vertAlign val="subscript"/>
        <sz val="12"/>
        <color theme="1"/>
        <rFont val="Calibri"/>
        <family val="2"/>
        <charset val="204"/>
      </rPr>
      <t xml:space="preserve">f </t>
    </r>
    <r>
      <rPr>
        <sz val="12"/>
        <color theme="1"/>
        <rFont val="Calibri"/>
        <family val="2"/>
        <charset val="204"/>
      </rPr>
      <t>=</t>
    </r>
  </si>
  <si>
    <r>
      <t>| W</t>
    </r>
    <r>
      <rPr>
        <vertAlign val="subscript"/>
        <sz val="12"/>
        <color theme="1"/>
        <rFont val="ISOCPEUR"/>
        <family val="2"/>
        <charset val="204"/>
      </rPr>
      <t>норм</t>
    </r>
    <r>
      <rPr>
        <sz val="12"/>
        <color theme="1"/>
        <rFont val="ISOCPEUR"/>
        <family val="2"/>
        <charset val="204"/>
      </rPr>
      <t>+(-) |=</t>
    </r>
  </si>
  <si>
    <t>| Wрасч+(-) |=</t>
  </si>
  <si>
    <t>2. Перильная нагрузка</t>
  </si>
  <si>
    <t>Н/мм по п. 8.2.6 СП.20.13330.2016</t>
  </si>
  <si>
    <r>
      <t>W</t>
    </r>
    <r>
      <rPr>
        <vertAlign val="subscript"/>
        <sz val="12"/>
        <color theme="1"/>
        <rFont val="ISOCPEUR"/>
        <family val="2"/>
        <charset val="204"/>
      </rPr>
      <t>0</t>
    </r>
  </si>
  <si>
    <r>
      <t>k(z</t>
    </r>
    <r>
      <rPr>
        <vertAlign val="subscript"/>
        <sz val="12"/>
        <color theme="1"/>
        <rFont val="ISOCPEUR"/>
        <family val="2"/>
        <charset val="204"/>
      </rPr>
      <t>e</t>
    </r>
    <r>
      <rPr>
        <sz val="12"/>
        <color theme="1"/>
        <rFont val="ISOCPEUR"/>
        <family val="2"/>
        <charset val="204"/>
      </rPr>
      <t>)</t>
    </r>
  </si>
  <si>
    <r>
      <t>[1+ζ(z</t>
    </r>
    <r>
      <rPr>
        <vertAlign val="subscript"/>
        <sz val="12"/>
        <color theme="1"/>
        <rFont val="ISOCPEUR"/>
        <family val="2"/>
        <charset val="204"/>
      </rPr>
      <t>e</t>
    </r>
    <r>
      <rPr>
        <sz val="12"/>
        <color theme="1"/>
        <rFont val="ISOCPEUR"/>
        <family val="2"/>
        <charset val="204"/>
      </rPr>
      <t>)]</t>
    </r>
  </si>
  <si>
    <t>Масса, кг/п.м.</t>
  </si>
  <si>
    <t>Расчет стойки</t>
  </si>
  <si>
    <t>1. Расчет стойки по I группе предельных состояний. Расчет на прочность от действия ветровой и перильной нагрузок</t>
  </si>
  <si>
    <t>Расчет стойки на прочность при действии момента в одной из главных плоскостей выполняется по формуле 17 п. 7.3.1 [3]:</t>
  </si>
  <si>
    <t>, где</t>
  </si>
  <si>
    <t>Расчетное сопротивление, R=</t>
  </si>
  <si>
    <t>МПа, согласно п. 6.1, СП 128.13330.2016</t>
  </si>
  <si>
    <r>
      <t>Момент сопротивления стойки W</t>
    </r>
    <r>
      <rPr>
        <vertAlign val="subscript"/>
        <sz val="12"/>
        <color theme="1"/>
        <rFont val="ISOCPEUR"/>
        <family val="2"/>
        <charset val="204"/>
      </rPr>
      <t>x,min</t>
    </r>
    <r>
      <rPr>
        <sz val="12"/>
        <color theme="1"/>
        <rFont val="ISOCPEUR"/>
        <family val="2"/>
        <charset val="204"/>
      </rPr>
      <t xml:space="preserve"> =</t>
    </r>
  </si>
  <si>
    <r>
      <t>см</t>
    </r>
    <r>
      <rPr>
        <vertAlign val="superscript"/>
        <sz val="12"/>
        <color theme="1"/>
        <rFont val="ISOCPEUR"/>
        <family val="2"/>
        <charset val="204"/>
      </rPr>
      <t>3</t>
    </r>
  </si>
  <si>
    <r>
      <t>Коэффициент условий работы, ƴ</t>
    </r>
    <r>
      <rPr>
        <vertAlign val="subscript"/>
        <sz val="12"/>
        <color theme="1"/>
        <rFont val="ISOCPEUR"/>
        <family val="2"/>
        <charset val="204"/>
      </rPr>
      <t>c</t>
    </r>
    <r>
      <rPr>
        <sz val="12"/>
        <color theme="1"/>
        <rFont val="ISOCPEUR"/>
        <family val="2"/>
        <charset val="204"/>
      </rPr>
      <t>=</t>
    </r>
  </si>
  <si>
    <t>по табл. 6, СП 128.13330.2016</t>
  </si>
  <si>
    <t>Изгибающий момент возникает от действия ветровой и перильной нагрузок:</t>
  </si>
  <si>
    <t>Без учета перильной нагрузки изгибающий момент рассчитывается по формуле:</t>
  </si>
  <si>
    <r>
      <t>Н/мм</t>
    </r>
    <r>
      <rPr>
        <vertAlign val="superscript"/>
        <sz val="12"/>
        <color theme="1"/>
        <rFont val="ISOCPEUR"/>
        <family val="2"/>
        <charset val="204"/>
      </rPr>
      <t>2</t>
    </r>
  </si>
  <si>
    <r>
      <t>Ширина нагрузки a</t>
    </r>
    <r>
      <rPr>
        <vertAlign val="subscript"/>
        <sz val="12"/>
        <color theme="1"/>
        <rFont val="ISOCPEUR"/>
        <family val="2"/>
        <charset val="204"/>
      </rPr>
      <t>ср</t>
    </r>
    <r>
      <rPr>
        <sz val="12"/>
        <color theme="1"/>
        <rFont val="ISOCPEUR"/>
        <family val="2"/>
        <charset val="204"/>
      </rPr>
      <t>=</t>
    </r>
  </si>
  <si>
    <t>мм</t>
  </si>
  <si>
    <t>Длина стойки H=</t>
  </si>
  <si>
    <t>Н*мм, где:</t>
  </si>
  <si>
    <t>С учетом перильной нагрузки изгибающий момент рассчитывается по формуле:</t>
  </si>
  <si>
    <t>Расчетная пиковая ветровая нагрузка w=</t>
  </si>
  <si>
    <t>Расстояние до перильной нагрузки b=</t>
  </si>
  <si>
    <t>расстояние от ближайшей опоры</t>
  </si>
  <si>
    <t>Точка приложения Перильной нагрузки, мм</t>
  </si>
  <si>
    <t>Перильная нагрузка P=</t>
  </si>
  <si>
    <t>Н/мм</t>
  </si>
  <si>
    <r>
      <t>W</t>
    </r>
    <r>
      <rPr>
        <vertAlign val="subscript"/>
        <sz val="12"/>
        <color theme="1"/>
        <rFont val="ISOCPEUR"/>
        <family val="2"/>
        <charset val="204"/>
      </rPr>
      <t>x,min</t>
    </r>
    <r>
      <rPr>
        <sz val="12"/>
        <color theme="1"/>
        <rFont val="ISOCPEUR"/>
        <family val="2"/>
        <charset val="204"/>
      </rPr>
      <t xml:space="preserve"> </t>
    </r>
    <r>
      <rPr>
        <sz val="12"/>
        <color theme="1"/>
        <rFont val="Symbol"/>
        <family val="1"/>
        <charset val="2"/>
      </rPr>
      <t>³</t>
    </r>
  </si>
  <si>
    <t>Минимально требуемый момент сопротивления стойки:</t>
  </si>
  <si>
    <t>Wx Min, см3</t>
  </si>
  <si>
    <t>Угол поворота по стойке α</t>
  </si>
  <si>
    <r>
      <t>ψ</t>
    </r>
    <r>
      <rPr>
        <vertAlign val="subscript"/>
        <sz val="12"/>
        <color theme="1"/>
        <rFont val="ISOCPEUR"/>
        <family val="2"/>
        <charset val="204"/>
      </rPr>
      <t>t2</t>
    </r>
    <r>
      <rPr>
        <sz val="12"/>
        <color theme="1"/>
        <rFont val="ISOCPEUR"/>
        <family val="2"/>
        <charset val="204"/>
      </rPr>
      <t>=</t>
    </r>
  </si>
  <si>
    <r>
      <t>P</t>
    </r>
    <r>
      <rPr>
        <vertAlign val="subscript"/>
        <sz val="12"/>
        <color theme="1"/>
        <rFont val="ISOCPEUR"/>
        <family val="2"/>
        <charset val="204"/>
      </rPr>
      <t>норм</t>
    </r>
    <r>
      <rPr>
        <sz val="12"/>
        <color theme="1"/>
        <rFont val="ISOCPEUR"/>
        <family val="2"/>
        <charset val="204"/>
      </rPr>
      <t>=</t>
    </r>
  </si>
  <si>
    <t>Нормативное значение пиковой ветровой нагрузки:</t>
  </si>
  <si>
    <t>Нормативное значение перильной нагрузки, в зависимости от типа здания:</t>
  </si>
  <si>
    <t>Расчетное значение перильной нагрузки:</t>
  </si>
  <si>
    <t>согласно п. 8.2.7 [1]</t>
  </si>
  <si>
    <r>
      <t>P</t>
    </r>
    <r>
      <rPr>
        <vertAlign val="subscript"/>
        <sz val="12"/>
        <color theme="1"/>
        <rFont val="ISOCPEUR"/>
        <family val="2"/>
        <charset val="204"/>
      </rPr>
      <t>расч</t>
    </r>
    <r>
      <rPr>
        <sz val="12"/>
        <color theme="1"/>
        <rFont val="ISOCPEUR"/>
        <family val="2"/>
        <charset val="204"/>
      </rPr>
      <t>=</t>
    </r>
  </si>
  <si>
    <t>3. Сочетание ветровой и перильной нагрузок</t>
  </si>
  <si>
    <t>Согласно п. 6.1 [1] Расчет конструкций и оснований по предельным состояниям 1-й и 2-й групп следует выполнять с учетом неблагоприятных сочетаний нагрузок или соответствующих им усилий. Для ограждающей светопрозрачной конструкции наиболее неблагоприятным сочетанием нагрузок является сочетание отрицательной пиковой ветровой и перильной нагрузок. И ветровая и перильная нагрузки являются кратковременными, соответственно формула 6.1 [1] принимает вид:</t>
  </si>
  <si>
    <t>Согласно п. 6.4 [1]:</t>
  </si>
  <si>
    <r>
      <t>ψ</t>
    </r>
    <r>
      <rPr>
        <vertAlign val="subscript"/>
        <sz val="12"/>
        <color theme="1"/>
        <rFont val="ISOCPEUR"/>
        <family val="2"/>
        <charset val="204"/>
      </rPr>
      <t>t1</t>
    </r>
    <r>
      <rPr>
        <sz val="12"/>
        <color theme="1"/>
        <rFont val="ISOCPEUR"/>
        <family val="2"/>
        <charset val="204"/>
      </rPr>
      <t>=</t>
    </r>
  </si>
  <si>
    <t>Расчет стойки на прогиб выполняется из условия:</t>
  </si>
  <si>
    <t>прогиб от ветровой нагрузки при однопролетной схеме закрепления</t>
  </si>
  <si>
    <t>прогиб от перильной нагрузки при однопролетной схеме закрепления</t>
  </si>
  <si>
    <r>
      <t>|W</t>
    </r>
    <r>
      <rPr>
        <vertAlign val="subscript"/>
        <sz val="12"/>
        <color theme="1"/>
        <rFont val="ISOCPEUR"/>
        <family val="2"/>
        <charset val="204"/>
      </rPr>
      <t>норм+(-)</t>
    </r>
    <r>
      <rPr>
        <sz val="12"/>
        <color theme="1"/>
        <rFont val="ISOCPEUR"/>
        <family val="2"/>
        <charset val="204"/>
      </rPr>
      <t>|=</t>
    </r>
  </si>
  <si>
    <r>
      <t>|W</t>
    </r>
    <r>
      <rPr>
        <vertAlign val="subscript"/>
        <sz val="12"/>
        <color theme="1"/>
        <rFont val="ISOCPEUR"/>
        <family val="2"/>
        <charset val="204"/>
      </rPr>
      <t>расч+(-)</t>
    </r>
    <r>
      <rPr>
        <sz val="12"/>
        <color theme="1"/>
        <rFont val="ISOCPEUR"/>
        <family val="2"/>
        <charset val="204"/>
      </rPr>
      <t>|=</t>
    </r>
  </si>
  <si>
    <t>Допустимый прогиб [f]=</t>
  </si>
  <si>
    <t>Нормативная пиковая ветровая нагрузка w=</t>
  </si>
  <si>
    <t>Модуль упругости алюминия E=</t>
  </si>
  <si>
    <t>Момент инерции стойки Ix=</t>
  </si>
  <si>
    <r>
      <t>см</t>
    </r>
    <r>
      <rPr>
        <vertAlign val="superscript"/>
        <sz val="12"/>
        <color theme="1"/>
        <rFont val="ISOCPEUR"/>
        <family val="2"/>
        <charset val="204"/>
      </rPr>
      <t>4</t>
    </r>
  </si>
  <si>
    <t>Выбор необходимой стойки осуществляется из ограничения на минимально допустимый момент инерции Ix:</t>
  </si>
  <si>
    <t>для однопролетной схемы</t>
  </si>
  <si>
    <t>Минимально требуемый момент инерции стойки:</t>
  </si>
  <si>
    <r>
      <rPr>
        <sz val="12"/>
        <color theme="1"/>
        <rFont val="ISOCPEUR"/>
        <family val="2"/>
        <charset val="204"/>
      </rPr>
      <t>I</t>
    </r>
    <r>
      <rPr>
        <vertAlign val="subscript"/>
        <sz val="12"/>
        <color theme="1"/>
        <rFont val="ISOCPEUR"/>
        <family val="2"/>
        <charset val="204"/>
      </rPr>
      <t>x,min</t>
    </r>
    <r>
      <rPr>
        <sz val="12"/>
        <color theme="1"/>
        <rFont val="ISOCPEUR"/>
        <family val="2"/>
        <charset val="204"/>
      </rPr>
      <t>=</t>
    </r>
  </si>
  <si>
    <t>fфакт=</t>
  </si>
  <si>
    <r>
      <t>f</t>
    </r>
    <r>
      <rPr>
        <vertAlign val="subscript"/>
        <sz val="12"/>
        <color theme="1"/>
        <rFont val="ISOCPEUR"/>
        <family val="2"/>
        <charset val="204"/>
      </rPr>
      <t>w</t>
    </r>
    <r>
      <rPr>
        <sz val="12"/>
        <color theme="1"/>
        <rFont val="ISOCPEUR"/>
        <family val="2"/>
        <charset val="204"/>
      </rPr>
      <t>=</t>
    </r>
  </si>
  <si>
    <r>
      <t>f</t>
    </r>
    <r>
      <rPr>
        <vertAlign val="subscript"/>
        <sz val="12"/>
        <color theme="1"/>
        <rFont val="ISOCPEUR"/>
        <family val="2"/>
        <charset val="204"/>
      </rPr>
      <t>p</t>
    </r>
    <r>
      <rPr>
        <sz val="12"/>
        <color theme="1"/>
        <rFont val="ISOCPEUR"/>
        <family val="2"/>
        <charset val="204"/>
      </rPr>
      <t>=</t>
    </r>
  </si>
  <si>
    <r>
      <t>f</t>
    </r>
    <r>
      <rPr>
        <vertAlign val="subscript"/>
        <sz val="12"/>
        <color theme="1"/>
        <rFont val="ISOCPEUR"/>
        <family val="2"/>
        <charset val="204"/>
      </rPr>
      <t>факт</t>
    </r>
    <r>
      <rPr>
        <sz val="12"/>
        <color theme="1"/>
        <rFont val="ISOCPEUR"/>
        <family val="2"/>
        <charset val="204"/>
      </rPr>
      <t>=fw+fp - фактический прогиб от действия ветровой и перильной нагрузок, где:</t>
    </r>
  </si>
  <si>
    <t>Расчет ригеля</t>
  </si>
  <si>
    <t>1. Расчет ригеля по I группе предельных состояний. Расчет на прочность от действия ветровой, перильной нагрузок и веса заполнения</t>
  </si>
  <si>
    <t>, где:</t>
  </si>
  <si>
    <t>Длина ригеля B=</t>
  </si>
  <si>
    <t>Н*мм</t>
  </si>
  <si>
    <t>Изгибающий момент по оси X возникает от действия действия ветровой и перильной нагрузок</t>
  </si>
  <si>
    <t>Изгибающий момент по оси Y возникает под воздействием нагрузок от заполнения:</t>
  </si>
  <si>
    <t>Для нагрузки от веса заполнения принимаем сосредоточенную силу Q=Z/2, где Z - вес остекления, которая распределяется на 2 подкладки</t>
  </si>
  <si>
    <t>Нагрузка от заполнения Z=</t>
  </si>
  <si>
    <t>Нагрузка на 1 подкладку Q=</t>
  </si>
  <si>
    <t>Н</t>
  </si>
  <si>
    <t>Расстояние до оси подкладки c=</t>
  </si>
  <si>
    <t>мм, от края ригеля до центра подкладки</t>
  </si>
  <si>
    <t>Расчет ригеля на прогиб выполняется из условия:</t>
  </si>
  <si>
    <r>
      <t>Н/мм</t>
    </r>
    <r>
      <rPr>
        <vertAlign val="superscript"/>
        <sz val="12"/>
        <color theme="1"/>
        <rFont val="ISOCPEUR"/>
        <family val="2"/>
        <charset val="204"/>
      </rPr>
      <t>2</t>
    </r>
    <r>
      <rPr>
        <sz val="12"/>
        <color theme="1"/>
        <rFont val="ISOCPEUR"/>
        <family val="2"/>
        <charset val="204"/>
      </rPr>
      <t>, по Таблице Б1 Приложения Б [2]</t>
    </r>
  </si>
  <si>
    <t>Допустимый прогиб рядового ригеля</t>
  </si>
  <si>
    <t>Расстояние от края ригеля до оси подкладки</t>
  </si>
  <si>
    <t>L/200</t>
  </si>
  <si>
    <t>2. Расчет ригеля по II группе предельных состояний. Расчет на деформации от действия ветровой, перильной нагрузок</t>
  </si>
  <si>
    <t>прогиб от ветровой нагрузки</t>
  </si>
  <si>
    <t>прогиб от ветровой и перильной нагрузок</t>
  </si>
  <si>
    <t>Момент инерции ригеля Ix=</t>
  </si>
  <si>
    <t>Выбор необходимого ригеля осуществляется из ограничения на минимально допустимый момент инерции Ix:</t>
  </si>
  <si>
    <t>для ригеля без учета перильной нагрузки</t>
  </si>
  <si>
    <t>для ригеля с учетом перильной нагрузки</t>
  </si>
  <si>
    <t>Минимально требуемый момент инерции ригеля:</t>
  </si>
  <si>
    <t>3. Расчет ригеля по II группе предельных состояний. Расчет на деформации от собственного веса и веса заполнения</t>
  </si>
  <si>
    <t>прогиб от собственного веса</t>
  </si>
  <si>
    <t>прогиб от веса заполнения</t>
  </si>
  <si>
    <t>мм, системное ограничение</t>
  </si>
  <si>
    <r>
      <t>f</t>
    </r>
    <r>
      <rPr>
        <vertAlign val="subscript"/>
        <sz val="12"/>
        <color theme="1"/>
        <rFont val="ISOCPEUR"/>
        <family val="2"/>
        <charset val="204"/>
      </rPr>
      <t>факт</t>
    </r>
    <r>
      <rPr>
        <sz val="12"/>
        <color theme="1"/>
        <rFont val="ISOCPEUR"/>
        <family val="2"/>
        <charset val="204"/>
      </rPr>
      <t>=</t>
    </r>
  </si>
  <si>
    <t>Погонный вес ригеля m=</t>
  </si>
  <si>
    <t>Момент инерции ригеля Iy=</t>
  </si>
  <si>
    <t>Выбор необходимого ригеля осуществляется из ограничения на минимально допустимый момент инерции Iy:</t>
  </si>
  <si>
    <r>
      <t>I</t>
    </r>
    <r>
      <rPr>
        <vertAlign val="subscript"/>
        <sz val="12"/>
        <color theme="1"/>
        <rFont val="ISOCPEUR"/>
        <family val="2"/>
        <charset val="204"/>
      </rPr>
      <t>y min</t>
    </r>
    <r>
      <rPr>
        <sz val="12"/>
        <color theme="1"/>
        <rFont val="ISOCPEUR"/>
        <family val="2"/>
        <charset val="204"/>
      </rPr>
      <t>=</t>
    </r>
  </si>
  <si>
    <r>
      <t>f</t>
    </r>
    <r>
      <rPr>
        <vertAlign val="subscript"/>
        <sz val="12"/>
        <color theme="1"/>
        <rFont val="ISOCPEUR"/>
        <family val="2"/>
        <charset val="204"/>
      </rPr>
      <t>Q</t>
    </r>
    <r>
      <rPr>
        <sz val="12"/>
        <color theme="1"/>
        <rFont val="ISOCPEUR"/>
        <family val="2"/>
        <charset val="204"/>
      </rPr>
      <t>=</t>
    </r>
  </si>
  <si>
    <r>
      <t>f</t>
    </r>
    <r>
      <rPr>
        <vertAlign val="subscript"/>
        <sz val="12"/>
        <color theme="1"/>
        <rFont val="ISOCPEUR"/>
        <family val="2"/>
        <charset val="204"/>
      </rPr>
      <t>m</t>
    </r>
    <r>
      <rPr>
        <sz val="12"/>
        <color theme="1"/>
        <rFont val="ISOCPEUR"/>
        <family val="2"/>
        <charset val="204"/>
      </rPr>
      <t>=</t>
    </r>
  </si>
  <si>
    <t>2. Расчет стойки по II группе предельных состояний. Расчет на деформации от действия ветровой и перильной нагрузок</t>
  </si>
  <si>
    <t>двухпролётная</t>
  </si>
  <si>
    <t>прогиб от ветровой нагрузки при двухпролетной схеме закрепления</t>
  </si>
  <si>
    <t>прогиб от перильной нагрузки при двухпролетной схеме закрепления</t>
  </si>
  <si>
    <t>для двухпролетной схемы</t>
  </si>
  <si>
    <t>Длина стойки H, мм</t>
  </si>
  <si>
    <t>(на ригель перильная нагрузка прикладывается в случае отсутствия ограждений, когда витраж непосредственно воспринимает перильную нагрузку)</t>
  </si>
  <si>
    <t>&lt;</t>
  </si>
  <si>
    <t>&gt;</t>
  </si>
  <si>
    <t>мм, [f]=1/200 расстояния между ближайшими опорами, п. 5.3.5 [3]</t>
  </si>
  <si>
    <t>Выводы</t>
  </si>
  <si>
    <t>Расчет ригеля. Выводы</t>
  </si>
  <si>
    <t>по В.11.17 [1]</t>
  </si>
  <si>
    <t>коэффициент использования</t>
  </si>
  <si>
    <t>система</t>
  </si>
  <si>
    <r>
      <t>Ix, см</t>
    </r>
    <r>
      <rPr>
        <vertAlign val="superscript"/>
        <sz val="12"/>
        <color theme="1"/>
        <rFont val="ISOCPEUR"/>
        <family val="2"/>
        <charset val="204"/>
      </rPr>
      <t>4</t>
    </r>
  </si>
  <si>
    <r>
      <t>Wx, см</t>
    </r>
    <r>
      <rPr>
        <vertAlign val="superscript"/>
        <sz val="12"/>
        <color theme="1"/>
        <rFont val="ISOCPEUR"/>
        <family val="2"/>
        <charset val="204"/>
      </rPr>
      <t>3</t>
    </r>
  </si>
  <si>
    <r>
      <t>Iy, см</t>
    </r>
    <r>
      <rPr>
        <vertAlign val="superscript"/>
        <sz val="12"/>
        <color theme="1"/>
        <rFont val="ISOCPEUR"/>
        <family val="2"/>
        <charset val="204"/>
      </rPr>
      <t>4</t>
    </r>
  </si>
  <si>
    <r>
      <t>Wy, см</t>
    </r>
    <r>
      <rPr>
        <vertAlign val="superscript"/>
        <sz val="12"/>
        <color theme="1"/>
        <rFont val="ISOCPEUR"/>
        <family val="2"/>
        <charset val="204"/>
      </rPr>
      <t>3</t>
    </r>
  </si>
  <si>
    <t>тип ригеля</t>
  </si>
  <si>
    <t>рядовой (глухое остекление)</t>
  </si>
  <si>
    <t>нижний ригель (над проемом)</t>
  </si>
  <si>
    <t>Тип остекления</t>
  </si>
  <si>
    <t>тип остекления</t>
  </si>
  <si>
    <t>стандартный</t>
  </si>
  <si>
    <t>имитация</t>
  </si>
  <si>
    <t>Ригель II уровня</t>
  </si>
  <si>
    <t>1. Расчет стойки по I группе предельных состояний. Расчет на гибкость</t>
  </si>
  <si>
    <t>для симметрично нагруженных стоек</t>
  </si>
  <si>
    <t>для несимметрично нагруженных стоек</t>
  </si>
  <si>
    <r>
      <t xml:space="preserve">Гибкость стойки </t>
    </r>
    <r>
      <rPr>
        <sz val="12"/>
        <color theme="1"/>
        <rFont val="Calibri"/>
        <family val="2"/>
        <charset val="204"/>
      </rPr>
      <t>λ</t>
    </r>
    <r>
      <rPr>
        <sz val="12"/>
        <color theme="1"/>
        <rFont val="ISOCPEUR"/>
        <family val="2"/>
        <charset val="204"/>
      </rPr>
      <t xml:space="preserve"> не должна превышать превышать предельных значений, приведенных в таблице 33 [2]:</t>
    </r>
  </si>
  <si>
    <r>
      <t>λ</t>
    </r>
    <r>
      <rPr>
        <vertAlign val="subscript"/>
        <sz val="12"/>
        <color theme="1"/>
        <rFont val="ISOCPEUR"/>
        <family val="2"/>
        <charset val="204"/>
      </rPr>
      <t>u</t>
    </r>
    <r>
      <rPr>
        <sz val="12"/>
        <color theme="1"/>
        <rFont val="ISOCPEUR"/>
        <family val="2"/>
        <charset val="204"/>
      </rPr>
      <t>=</t>
    </r>
  </si>
  <si>
    <t>п. 8.4.1 [2], где</t>
  </si>
  <si>
    <t>расчетная длина стойки, формула (66) [2] п. 8.3.1, где</t>
  </si>
  <si>
    <t>по табл. 31 [2]</t>
  </si>
  <si>
    <t>Длина стойки l=</t>
  </si>
  <si>
    <r>
      <t>l</t>
    </r>
    <r>
      <rPr>
        <vertAlign val="subscript"/>
        <sz val="12"/>
        <color theme="1"/>
        <rFont val="ISOCPEUR"/>
        <family val="2"/>
        <charset val="204"/>
      </rPr>
      <t>ef</t>
    </r>
    <r>
      <rPr>
        <sz val="12"/>
        <color theme="1"/>
        <rFont val="ISOCPEUR"/>
        <family val="2"/>
        <charset val="204"/>
      </rPr>
      <t>=</t>
    </r>
  </si>
  <si>
    <t>см</t>
  </si>
  <si>
    <t>A, см2</t>
  </si>
  <si>
    <t>ix, см</t>
  </si>
  <si>
    <r>
      <t>A, см</t>
    </r>
    <r>
      <rPr>
        <vertAlign val="superscript"/>
        <sz val="12"/>
        <color theme="1"/>
        <rFont val="ISOCPEUR"/>
        <family val="2"/>
        <charset val="204"/>
      </rPr>
      <t>2</t>
    </r>
  </si>
  <si>
    <r>
      <t>i</t>
    </r>
    <r>
      <rPr>
        <vertAlign val="subscript"/>
        <sz val="12"/>
        <color theme="1"/>
        <rFont val="ISOCPEUR"/>
        <family val="2"/>
        <charset val="204"/>
      </rPr>
      <t>x</t>
    </r>
    <r>
      <rPr>
        <sz val="12"/>
        <color theme="1"/>
        <rFont val="ISOCPEUR"/>
        <family val="2"/>
        <charset val="204"/>
      </rPr>
      <t>, см</t>
    </r>
  </si>
  <si>
    <t>или</t>
  </si>
  <si>
    <t>iy, см</t>
  </si>
  <si>
    <r>
      <t>кПа, Ветровое давление w</t>
    </r>
    <r>
      <rPr>
        <vertAlign val="subscript"/>
        <sz val="12"/>
        <color theme="1"/>
        <rFont val="ISOCPEUR"/>
        <family val="2"/>
        <charset val="204"/>
      </rPr>
      <t>0</t>
    </r>
  </si>
  <si>
    <t>µx=</t>
  </si>
  <si>
    <t>Длина стойки l=H=</t>
  </si>
  <si>
    <t>Радиус инерции стойки ix=</t>
  </si>
  <si>
    <t>Минимально требуемый радиус инерции стойки:</t>
  </si>
  <si>
    <t>Гибкость стойки перпендикулярно плоскости остекления λx вычисляется по формуле:</t>
  </si>
  <si>
    <t>мм, наибольший пролет между ригелями по вертикали</t>
  </si>
  <si>
    <t>Радиус инерции стойки iy=</t>
  </si>
  <si>
    <t>µy=</t>
  </si>
  <si>
    <t>Гибкость стойки в плоскости остекления λy определяется в пролете между двумя ригелями и вычисляется по формуле:</t>
  </si>
  <si>
    <t>, так как в зоне макс. изгиба сечение ригеля не ослаблено, условие можно представить в виде:</t>
  </si>
  <si>
    <r>
      <t>Момент сопротивления ригеля W</t>
    </r>
    <r>
      <rPr>
        <vertAlign val="subscript"/>
        <sz val="12"/>
        <color theme="1"/>
        <rFont val="ISOCPEUR"/>
        <family val="2"/>
        <charset val="204"/>
      </rPr>
      <t>x</t>
    </r>
    <r>
      <rPr>
        <sz val="12"/>
        <color theme="1"/>
        <rFont val="ISOCPEUR"/>
        <family val="2"/>
        <charset val="204"/>
      </rPr>
      <t>=</t>
    </r>
  </si>
  <si>
    <r>
      <t>Момент сопротивления ригеля W</t>
    </r>
    <r>
      <rPr>
        <vertAlign val="subscript"/>
        <sz val="12"/>
        <color theme="1"/>
        <rFont val="ISOCPEUR"/>
        <family val="2"/>
        <charset val="204"/>
      </rPr>
      <t>y</t>
    </r>
    <r>
      <rPr>
        <sz val="12"/>
        <color theme="1"/>
        <rFont val="ISOCPEUR"/>
        <family val="2"/>
        <charset val="204"/>
      </rPr>
      <t>=</t>
    </r>
  </si>
  <si>
    <t>Mx/Wx*R*ƴc=</t>
  </si>
  <si>
    <t>My/Wy*R*ƴc=</t>
  </si>
  <si>
    <t>Расчет на прочность изгибаемых элементов при действии моментов в двух главных плоскостях (формула 19, п. 7.3.1, [2]) выполняется по условию:</t>
  </si>
  <si>
    <t>Выполнены расчеты напряженно-деформированного состояния профилей под действием ветровой нагрузки, перильной нагрузки, собственного веса, веса заполнений. Определены максимальные возникающие моменты, перемещения в конструкции. Расчетные значения изгибающих моментов были сопоставлены с допустимыми с учетом коэффициентов надежности по [2].Расчетные значения перемещений были сопоставлены с допустимыми по [3].</t>
  </si>
  <si>
    <t>125 мм для опоры F50.05.09, для остальных - 100 мм</t>
  </si>
  <si>
    <t>размер здания перпендикулярно расчетному направлению ветра</t>
  </si>
  <si>
    <t>Ай-Петри</t>
  </si>
  <si>
    <t>Алешки</t>
  </si>
  <si>
    <t>Алушта</t>
  </si>
  <si>
    <t>Ангарский перевал</t>
  </si>
  <si>
    <t>Армянск</t>
  </si>
  <si>
    <t>Аскания-Нова</t>
  </si>
  <si>
    <t>Бахмут</t>
  </si>
  <si>
    <t>Бахчисарай</t>
  </si>
  <si>
    <t>Белицкое</t>
  </si>
  <si>
    <t>Белогорск</t>
  </si>
  <si>
    <t>Белозерское</t>
  </si>
  <si>
    <t>Бердянск</t>
  </si>
  <si>
    <t>Берислав</t>
  </si>
  <si>
    <t>Васильевка</t>
  </si>
  <si>
    <t>Вахрушево</t>
  </si>
  <si>
    <t>Владиславовка</t>
  </si>
  <si>
    <t>Волноваха</t>
  </si>
  <si>
    <t>Вольнянск</t>
  </si>
  <si>
    <t>Геническ</t>
  </si>
  <si>
    <t>Голая Пристань</t>
  </si>
  <si>
    <t>Горняк</t>
  </si>
  <si>
    <t>Горское</t>
  </si>
  <si>
    <t>Гуляй-поле</t>
  </si>
  <si>
    <t>Дебальцево</t>
  </si>
  <si>
    <t>Джанкой</t>
  </si>
  <si>
    <t>Днепрорудное</t>
  </si>
  <si>
    <t>Докучаевск</t>
  </si>
  <si>
    <t>Донецк</t>
  </si>
  <si>
    <t>Дружковка</t>
  </si>
  <si>
    <t>Евпатория</t>
  </si>
  <si>
    <t>Запорожье</t>
  </si>
  <si>
    <t>Зугрэс</t>
  </si>
  <si>
    <t>Ишунь</t>
  </si>
  <si>
    <t>Каменка-Днепровская</t>
  </si>
  <si>
    <t>Караби-Яйла</t>
  </si>
  <si>
    <t>Каховка</t>
  </si>
  <si>
    <t>Керчь</t>
  </si>
  <si>
    <t>Кипучее</t>
  </si>
  <si>
    <t>Кирилловка</t>
  </si>
  <si>
    <t>Кировское</t>
  </si>
  <si>
    <t>Красногвардейское</t>
  </si>
  <si>
    <t>Красноперекопск</t>
  </si>
  <si>
    <t>Красный Луч</t>
  </si>
  <si>
    <t>Ленино</t>
  </si>
  <si>
    <t>Лиман</t>
  </si>
  <si>
    <t>Луганск</t>
  </si>
  <si>
    <t>Мариуполь</t>
  </si>
  <si>
    <t>Мелитополь</t>
  </si>
  <si>
    <t>Молочанск</t>
  </si>
  <si>
    <t>Моспино</t>
  </si>
  <si>
    <t>Мысовое</t>
  </si>
  <si>
    <t>Нижнегорский</t>
  </si>
  <si>
    <t>Никитский сад</t>
  </si>
  <si>
    <t>Новая Каховка</t>
  </si>
  <si>
    <t>Новоазовск</t>
  </si>
  <si>
    <t>Новогродовка</t>
  </si>
  <si>
    <t>Опасное</t>
  </si>
  <si>
    <t>Орехов</t>
  </si>
  <si>
    <t>Первомайское</t>
  </si>
  <si>
    <t>Покровск</t>
  </si>
  <si>
    <t>Пологи</t>
  </si>
  <si>
    <t>Приморск</t>
  </si>
  <si>
    <t>Раздольное</t>
  </si>
  <si>
    <t>Ровеньки</t>
  </si>
  <si>
    <t>Саки</t>
  </si>
  <si>
    <t>Сватово</t>
  </si>
  <si>
    <t>Святогорск</t>
  </si>
  <si>
    <t>Северодонецк</t>
  </si>
  <si>
    <t>Скадовск</t>
  </si>
  <si>
    <t>Славянск</t>
  </si>
  <si>
    <t>Советский</t>
  </si>
  <si>
    <t>Старобельск</t>
  </si>
  <si>
    <t>Стерегущее</t>
  </si>
  <si>
    <t>Судак</t>
  </si>
  <si>
    <t>Суходольск</t>
  </si>
  <si>
    <t>Счастье</t>
  </si>
  <si>
    <t>Токмак</t>
  </si>
  <si>
    <t>Феодосия</t>
  </si>
  <si>
    <t>Херсон</t>
  </si>
  <si>
    <t>Часов Яр</t>
  </si>
  <si>
    <t>Черноморское</t>
  </si>
  <si>
    <t>Энергодар</t>
  </si>
  <si>
    <t>Ялта</t>
  </si>
  <si>
    <t>МП-40</t>
  </si>
  <si>
    <t>МП-50</t>
  </si>
  <si>
    <t>МП-4001</t>
  </si>
  <si>
    <t>НЕ НАДО!</t>
  </si>
  <si>
    <t>МП-4002</t>
  </si>
  <si>
    <t>МП-4003</t>
  </si>
  <si>
    <t>МП-4004</t>
  </si>
  <si>
    <t>МП-4005</t>
  </si>
  <si>
    <t>МП-4006</t>
  </si>
  <si>
    <t>МП-4007</t>
  </si>
  <si>
    <t>усиление закл. по всей длине</t>
  </si>
  <si>
    <t>МП-4001+МП-4051</t>
  </si>
  <si>
    <t>МП-4002+МП-4052</t>
  </si>
  <si>
    <t>МП-4003+МП-4053</t>
  </si>
  <si>
    <t>МП-4004+МП-4054</t>
  </si>
  <si>
    <t>МП-4005+МП-4055</t>
  </si>
  <si>
    <t>МП-4006+МП-4056</t>
  </si>
  <si>
    <t>МП-4007+МП-4057</t>
  </si>
  <si>
    <t>МП 50 стойки</t>
  </si>
  <si>
    <t>МП 40 стойки</t>
  </si>
  <si>
    <t>МП-5001/ЭК-5001</t>
  </si>
  <si>
    <t>МП-5001-01</t>
  </si>
  <si>
    <t>МП-5002/ЭК-5002</t>
  </si>
  <si>
    <t>МП-5005/ЭК-5005</t>
  </si>
  <si>
    <t>МП-5005-01</t>
  </si>
  <si>
    <t>МП-5006/ЭК-5006</t>
  </si>
  <si>
    <t>МП-5006-01</t>
  </si>
  <si>
    <t>МП-5016/ЭК-5016</t>
  </si>
  <si>
    <t>МП-5001+МП-5013</t>
  </si>
  <si>
    <t>МП-5001-01+МП-5013</t>
  </si>
  <si>
    <t>МП-5002+МП-5013</t>
  </si>
  <si>
    <t>МП-5005+МП-5013</t>
  </si>
  <si>
    <t>МП-5005-01+МП-5013</t>
  </si>
  <si>
    <t>МП-5006+МП-5013</t>
  </si>
  <si>
    <t>МП-5006-01+МП-5013</t>
  </si>
  <si>
    <t>МП-5003/ЭК-5003</t>
  </si>
  <si>
    <t>МП 50 Ригель 2 уровня</t>
  </si>
  <si>
    <t>МП 50 Ригели</t>
  </si>
  <si>
    <t>Произвольно</t>
  </si>
  <si>
    <t>ix, см2</t>
  </si>
  <si>
    <t>iy, см3</t>
  </si>
  <si>
    <t>Фасады, витражи МП-50, МП-40</t>
  </si>
  <si>
    <t>+7 (8552) 77-85-80</t>
  </si>
  <si>
    <t>as@tatprof.ru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</si>
</sst>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"/>
    <numFmt numFmtId="165" formatCode="0.0"/>
    <numFmt numFmtId="166" formatCode="0.00000"/>
    <numFmt numFmtId="167" formatCode="0.000000"/>
    <numFmt numFmtId="168" formatCode="0.000000000"/>
    <numFmt numFmtId="169" formatCode="0.000"/>
  </numFmts>
  <fonts count="2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ISOCPEUR"/>
      <family val="2"/>
      <charset val="204"/>
    </font>
    <font>
      <sz val="12"/>
      <color theme="1"/>
      <name val="ISOCPEUR"/>
      <family val="2"/>
      <charset val="204"/>
    </font>
    <font>
      <b/>
      <u/>
      <sz val="18"/>
      <color theme="1"/>
      <name val="ISOCPEUR"/>
      <family val="2"/>
      <charset val="204"/>
    </font>
    <font>
      <b/>
      <sz val="12"/>
      <color theme="1"/>
      <name val="ISOCPEUR"/>
      <family val="2"/>
      <charset val="204"/>
    </font>
    <font>
      <b/>
      <u/>
      <sz val="14"/>
      <color theme="1"/>
      <name val="ISOCPEUR"/>
      <family val="2"/>
      <charset val="204"/>
    </font>
    <font>
      <u/>
      <sz val="11"/>
      <color theme="1"/>
      <name val="ISOCPEUR"/>
      <family val="2"/>
      <charset val="204"/>
    </font>
    <font>
      <u/>
      <sz val="12"/>
      <color theme="1"/>
      <name val="ISOCPEUR"/>
      <family val="2"/>
      <charset val="204"/>
    </font>
    <font>
      <vertAlign val="subscript"/>
      <sz val="12"/>
      <color theme="1"/>
      <name val="ISOCPEUR"/>
      <family val="2"/>
      <charset val="204"/>
    </font>
    <font>
      <sz val="12"/>
      <color theme="1"/>
      <name val="Calibri"/>
      <family val="2"/>
      <charset val="204"/>
    </font>
    <font>
      <vertAlign val="subscript"/>
      <sz val="12"/>
      <color theme="1"/>
      <name val="Calibri"/>
      <family val="2"/>
      <charset val="204"/>
    </font>
    <font>
      <vertAlign val="superscript"/>
      <sz val="12"/>
      <color theme="1"/>
      <name val="ISOCPEUR"/>
      <family val="2"/>
      <charset val="204"/>
    </font>
    <font>
      <sz val="12"/>
      <color theme="1"/>
      <name val="Symbol"/>
      <family val="1"/>
      <charset val="2"/>
    </font>
    <font>
      <sz val="9"/>
      <color indexed="81"/>
      <name val="Tahoma"/>
      <family val="2"/>
      <charset val="204"/>
    </font>
    <font>
      <u/>
      <sz val="14"/>
      <color theme="1"/>
      <name val="ISOCPEUR"/>
      <family val="2"/>
      <charset val="204"/>
    </font>
    <font>
      <b/>
      <sz val="12"/>
      <name val="ISOCPEUR"/>
      <family val="2"/>
      <charset val="204"/>
    </font>
    <font>
      <sz val="12"/>
      <name val="ISOCPEUR"/>
      <family val="2"/>
      <charset val="204"/>
    </font>
    <font>
      <sz val="12"/>
      <color theme="0"/>
      <name val="ISOCPEUR"/>
      <family val="2"/>
      <charset val="204"/>
    </font>
    <font>
      <sz val="9"/>
      <color theme="1"/>
      <name val="ISOCPEUR"/>
      <family val="2"/>
      <charset val="204"/>
    </font>
    <font>
      <sz val="14"/>
      <color theme="1"/>
      <name val="ISOCPEUR"/>
      <family val="2"/>
      <charset val="204"/>
    </font>
    <font>
      <sz val="11"/>
      <name val="ISOCPEUR"/>
      <family val="2"/>
      <charset val="204"/>
    </font>
    <font>
      <sz val="11"/>
      <color theme="1"/>
      <name val="Calibri"/>
      <family val="2"/>
      <charset val="204"/>
      <scheme val="minor"/>
    </font>
    <font>
      <b/>
      <u/>
      <sz val="12"/>
      <color theme="1"/>
      <name val="ISOCPEUR"/>
      <family val="2"/>
      <charset val="204"/>
    </font>
    <font>
      <b/>
      <sz val="9"/>
      <color indexed="81"/>
      <name val="Tahoma"/>
      <family val="2"/>
      <charset val="204"/>
    </font>
    <font>
      <sz val="12"/>
      <color theme="1"/>
      <name val="ISOCPEU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/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22" fillId="0" borderId="0" applyFont="0" applyFill="0" applyBorder="0" applyAlignment="0" applyProtection="0"/>
  </cellStyleXfs>
  <cellXfs count="1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2" borderId="1" xfId="0" applyFont="1" applyFill="1" applyBorder="1"/>
    <xf numFmtId="0" fontId="3" fillId="0" borderId="1" xfId="0" applyFont="1" applyBorder="1"/>
    <xf numFmtId="0" fontId="5" fillId="0" borderId="3" xfId="0" applyFont="1" applyBorder="1"/>
    <xf numFmtId="0" fontId="5" fillId="0" borderId="4" xfId="0" applyFont="1" applyBorder="1"/>
    <xf numFmtId="0" fontId="3" fillId="2" borderId="5" xfId="0" applyFont="1" applyFill="1" applyBorder="1"/>
    <xf numFmtId="2" fontId="3" fillId="2" borderId="2" xfId="0" applyNumberFormat="1" applyFont="1" applyFill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164" fontId="3" fillId="0" borderId="7" xfId="0" applyNumberFormat="1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3" xfId="0" applyFont="1" applyBorder="1" applyAlignment="1">
      <alignment wrapText="1"/>
    </xf>
    <xf numFmtId="169" fontId="3" fillId="0" borderId="0" xfId="0" applyNumberFormat="1" applyFont="1" applyFill="1" applyAlignment="1">
      <alignment horizontal="center" vertical="center"/>
    </xf>
    <xf numFmtId="0" fontId="3" fillId="0" borderId="0" xfId="0" applyFont="1" applyFill="1"/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/>
    <xf numFmtId="0" fontId="3" fillId="0" borderId="7" xfId="0" applyFont="1" applyBorder="1"/>
    <xf numFmtId="0" fontId="3" fillId="0" borderId="16" xfId="0" applyFont="1" applyBorder="1"/>
    <xf numFmtId="0" fontId="3" fillId="0" borderId="20" xfId="0" applyFont="1" applyBorder="1"/>
    <xf numFmtId="0" fontId="3" fillId="0" borderId="0" xfId="0" applyFont="1"/>
    <xf numFmtId="0" fontId="3" fillId="0" borderId="7" xfId="0" applyFont="1" applyBorder="1"/>
    <xf numFmtId="0" fontId="2" fillId="0" borderId="0" xfId="0" applyFont="1" applyProtection="1">
      <protection hidden="1"/>
    </xf>
    <xf numFmtId="0" fontId="21" fillId="0" borderId="0" xfId="0" applyFont="1" applyFill="1" applyBorder="1" applyProtection="1">
      <protection hidden="1"/>
    </xf>
    <xf numFmtId="0" fontId="2" fillId="0" borderId="0" xfId="0" applyFont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14" fontId="2" fillId="0" borderId="0" xfId="0" applyNumberFormat="1" applyFont="1" applyAlignment="1" applyProtection="1">
      <alignment horizontal="left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2" fillId="0" borderId="0" xfId="0" applyFont="1" applyAlignment="1" applyProtection="1">
      <alignment vertical="top" wrapText="1"/>
      <protection hidden="1"/>
    </xf>
    <xf numFmtId="0" fontId="3" fillId="0" borderId="0" xfId="0" applyFont="1" applyAlignment="1" applyProtection="1">
      <alignment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Fill="1" applyProtection="1">
      <protection hidden="1"/>
    </xf>
    <xf numFmtId="0" fontId="7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alignment horizontal="right"/>
      <protection hidden="1"/>
    </xf>
    <xf numFmtId="0" fontId="17" fillId="0" borderId="0" xfId="0" applyFont="1" applyFill="1" applyBorder="1" applyProtection="1">
      <protection hidden="1"/>
    </xf>
    <xf numFmtId="0" fontId="17" fillId="0" borderId="0" xfId="0" applyFont="1" applyFill="1" applyBorder="1" applyAlignment="1" applyProtection="1">
      <alignment horizontal="right"/>
      <protection hidden="1"/>
    </xf>
    <xf numFmtId="0" fontId="3" fillId="0" borderId="7" xfId="0" applyFont="1" applyFill="1" applyBorder="1" applyAlignment="1" applyProtection="1">
      <alignment horizontal="center"/>
      <protection hidden="1"/>
    </xf>
    <xf numFmtId="0" fontId="3" fillId="0" borderId="7" xfId="0" applyFont="1" applyBorder="1" applyProtection="1">
      <protection hidden="1"/>
    </xf>
    <xf numFmtId="0" fontId="3" fillId="0" borderId="7" xfId="0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23" fillId="0" borderId="0" xfId="0" applyFont="1" applyProtection="1">
      <protection hidden="1"/>
    </xf>
    <xf numFmtId="0" fontId="18" fillId="3" borderId="7" xfId="0" applyFont="1" applyFill="1" applyBorder="1" applyProtection="1">
      <protection hidden="1"/>
    </xf>
    <xf numFmtId="0" fontId="3" fillId="4" borderId="7" xfId="0" applyFont="1" applyFill="1" applyBorder="1" applyProtection="1">
      <protection hidden="1"/>
    </xf>
    <xf numFmtId="0" fontId="23" fillId="0" borderId="11" xfId="0" applyFont="1" applyBorder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2" fontId="3" fillId="0" borderId="7" xfId="0" applyNumberFormat="1" applyFont="1" applyBorder="1" applyAlignment="1" applyProtection="1">
      <alignment horizontal="center" vertical="center"/>
      <protection hidden="1"/>
    </xf>
    <xf numFmtId="2" fontId="3" fillId="0" borderId="0" xfId="0" applyNumberFormat="1" applyFont="1" applyAlignment="1" applyProtection="1">
      <alignment horizontal="center" vertical="top"/>
      <protection hidden="1"/>
    </xf>
    <xf numFmtId="2" fontId="3" fillId="0" borderId="0" xfId="0" applyNumberFormat="1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19" fillId="0" borderId="0" xfId="0" applyFont="1" applyAlignment="1" applyProtection="1">
      <alignment vertical="top"/>
      <protection hidden="1"/>
    </xf>
    <xf numFmtId="0" fontId="3" fillId="0" borderId="0" xfId="0" applyFont="1" applyBorder="1" applyAlignment="1" applyProtection="1">
      <alignment vertical="top" wrapText="1"/>
      <protection hidden="1"/>
    </xf>
    <xf numFmtId="0" fontId="0" fillId="0" borderId="0" xfId="0" applyBorder="1" applyProtection="1">
      <protection hidden="1"/>
    </xf>
    <xf numFmtId="0" fontId="3" fillId="0" borderId="0" xfId="0" applyFont="1" applyBorder="1" applyProtection="1"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18" fillId="0" borderId="0" xfId="0" applyFont="1" applyProtection="1">
      <protection hidden="1"/>
    </xf>
    <xf numFmtId="0" fontId="18" fillId="0" borderId="0" xfId="0" applyFont="1" applyFill="1" applyBorder="1" applyAlignment="1" applyProtection="1">
      <alignment horizontal="right"/>
      <protection hidden="1"/>
    </xf>
    <xf numFmtId="0" fontId="15" fillId="0" borderId="0" xfId="0" applyFont="1" applyProtection="1">
      <protection hidden="1"/>
    </xf>
    <xf numFmtId="0" fontId="3" fillId="0" borderId="0" xfId="0" applyFont="1" applyAlignment="1" applyProtection="1">
      <alignment vertical="center"/>
      <protection hidden="1"/>
    </xf>
    <xf numFmtId="1" fontId="3" fillId="0" borderId="0" xfId="0" applyNumberFormat="1" applyFont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2" fontId="3" fillId="0" borderId="0" xfId="0" applyNumberFormat="1" applyFont="1" applyAlignment="1" applyProtection="1">
      <alignment horizontal="center" vertical="center"/>
      <protection hidden="1"/>
    </xf>
    <xf numFmtId="2" fontId="3" fillId="0" borderId="0" xfId="0" applyNumberFormat="1" applyFont="1" applyFill="1" applyAlignment="1" applyProtection="1">
      <alignment horizontal="center" vertical="center"/>
      <protection hidden="1"/>
    </xf>
    <xf numFmtId="165" fontId="3" fillId="0" borderId="0" xfId="0" applyNumberFormat="1" applyFont="1" applyAlignment="1" applyProtection="1">
      <alignment horizontal="center" vertical="center"/>
      <protection hidden="1"/>
    </xf>
    <xf numFmtId="165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Font="1" applyAlignment="1" applyProtection="1">
      <protection hidden="1"/>
    </xf>
    <xf numFmtId="0" fontId="3" fillId="0" borderId="8" xfId="0" applyFont="1" applyBorder="1" applyProtection="1">
      <protection hidden="1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15" xfId="0" applyFont="1" applyBorder="1" applyAlignment="1" applyProtection="1">
      <alignment horizontal="left" vertical="center"/>
      <protection hidden="1"/>
    </xf>
    <xf numFmtId="2" fontId="3" fillId="0" borderId="7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right" wrapText="1"/>
      <protection hidden="1"/>
    </xf>
    <xf numFmtId="166" fontId="5" fillId="0" borderId="7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right"/>
      <protection hidden="1"/>
    </xf>
    <xf numFmtId="167" fontId="5" fillId="0" borderId="0" xfId="0" applyNumberFormat="1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right" vertical="center"/>
      <protection hidden="1"/>
    </xf>
    <xf numFmtId="166" fontId="5" fillId="0" borderId="7" xfId="0" applyNumberFormat="1" applyFont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166" fontId="3" fillId="0" borderId="0" xfId="0" applyNumberFormat="1" applyFont="1" applyProtection="1">
      <protection hidden="1"/>
    </xf>
    <xf numFmtId="0" fontId="3" fillId="0" borderId="0" xfId="0" applyFont="1" applyBorder="1" applyAlignment="1" applyProtection="1">
      <alignment horizontal="right" vertical="center"/>
      <protection hidden="1"/>
    </xf>
    <xf numFmtId="166" fontId="5" fillId="0" borderId="0" xfId="0" applyNumberFormat="1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1" fontId="3" fillId="0" borderId="0" xfId="0" applyNumberFormat="1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2" fontId="3" fillId="0" borderId="0" xfId="0" applyNumberFormat="1" applyFont="1" applyAlignment="1" applyProtection="1">
      <alignment horizontal="left" vertical="center"/>
      <protection hidden="1"/>
    </xf>
    <xf numFmtId="169" fontId="3" fillId="0" borderId="0" xfId="0" applyNumberFormat="1" applyFont="1" applyAlignment="1" applyProtection="1">
      <alignment horizontal="center"/>
      <protection hidden="1"/>
    </xf>
    <xf numFmtId="2" fontId="3" fillId="0" borderId="0" xfId="0" applyNumberFormat="1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left"/>
      <protection hidden="1"/>
    </xf>
    <xf numFmtId="0" fontId="13" fillId="0" borderId="0" xfId="0" applyFont="1" applyProtection="1">
      <protection hidden="1"/>
    </xf>
    <xf numFmtId="2" fontId="5" fillId="0" borderId="0" xfId="0" applyNumberFormat="1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top"/>
      <protection hidden="1"/>
    </xf>
    <xf numFmtId="2" fontId="3" fillId="0" borderId="0" xfId="2" applyNumberFormat="1" applyFont="1" applyAlignment="1" applyProtection="1">
      <alignment horizontal="left" vertical="top"/>
      <protection hidden="1"/>
    </xf>
    <xf numFmtId="2" fontId="5" fillId="0" borderId="0" xfId="0" applyNumberFormat="1" applyFont="1" applyAlignment="1" applyProtection="1">
      <alignment horizontal="center"/>
      <protection hidden="1"/>
    </xf>
    <xf numFmtId="167" fontId="3" fillId="0" borderId="0" xfId="0" applyNumberFormat="1" applyFont="1" applyAlignment="1" applyProtection="1">
      <alignment horizontal="center" vertical="center"/>
      <protection hidden="1"/>
    </xf>
    <xf numFmtId="1" fontId="3" fillId="0" borderId="0" xfId="0" applyNumberFormat="1" applyFont="1" applyFill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right"/>
      <protection hidden="1"/>
    </xf>
    <xf numFmtId="2" fontId="16" fillId="0" borderId="0" xfId="0" applyNumberFormat="1" applyFont="1" applyFill="1" applyAlignment="1" applyProtection="1">
      <alignment horizontal="center" vertical="center"/>
      <protection hidden="1"/>
    </xf>
    <xf numFmtId="168" fontId="3" fillId="0" borderId="0" xfId="0" applyNumberFormat="1" applyFont="1" applyProtection="1">
      <protection hidden="1"/>
    </xf>
    <xf numFmtId="0" fontId="3" fillId="0" borderId="0" xfId="0" applyFont="1" applyAlignment="1" applyProtection="1">
      <alignment horizontal="right" vertical="center"/>
      <protection hidden="1"/>
    </xf>
    <xf numFmtId="9" fontId="3" fillId="0" borderId="0" xfId="2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right" vertical="top"/>
      <protection hidden="1"/>
    </xf>
    <xf numFmtId="2" fontId="5" fillId="0" borderId="0" xfId="0" applyNumberFormat="1" applyFont="1" applyAlignment="1" applyProtection="1">
      <alignment horizontal="center" vertical="top"/>
      <protection hidden="1"/>
    </xf>
    <xf numFmtId="0" fontId="3" fillId="0" borderId="0" xfId="0" applyFont="1" applyAlignment="1" applyProtection="1">
      <alignment horizontal="center" vertical="top"/>
      <protection hidden="1"/>
    </xf>
    <xf numFmtId="0" fontId="5" fillId="0" borderId="0" xfId="0" applyFont="1" applyAlignment="1" applyProtection="1">
      <alignment vertical="top"/>
      <protection hidden="1"/>
    </xf>
    <xf numFmtId="0" fontId="5" fillId="0" borderId="0" xfId="0" applyFont="1" applyAlignment="1" applyProtection="1">
      <alignment vertical="top" wrapText="1"/>
      <protection hidden="1"/>
    </xf>
    <xf numFmtId="169" fontId="5" fillId="0" borderId="0" xfId="0" applyNumberFormat="1" applyFont="1" applyAlignment="1" applyProtection="1">
      <alignment horizontal="center" vertical="center"/>
      <protection hidden="1"/>
    </xf>
    <xf numFmtId="169" fontId="3" fillId="0" borderId="0" xfId="0" applyNumberFormat="1" applyFont="1" applyAlignment="1" applyProtection="1">
      <alignment horizontal="center" vertical="center"/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169" fontId="5" fillId="0" borderId="0" xfId="0" applyNumberFormat="1" applyFont="1" applyAlignment="1" applyProtection="1">
      <alignment horizontal="center"/>
      <protection hidden="1"/>
    </xf>
    <xf numFmtId="164" fontId="3" fillId="0" borderId="0" xfId="0" applyNumberFormat="1" applyFont="1" applyAlignment="1" applyProtection="1">
      <alignment horizontal="center" vertical="center"/>
      <protection hidden="1"/>
    </xf>
    <xf numFmtId="169" fontId="3" fillId="0" borderId="0" xfId="0" applyNumberFormat="1" applyFont="1" applyFill="1" applyAlignment="1">
      <alignment horizontal="center"/>
    </xf>
    <xf numFmtId="0" fontId="25" fillId="0" borderId="0" xfId="0" applyFont="1" applyFill="1"/>
    <xf numFmtId="2" fontId="25" fillId="0" borderId="0" xfId="0" applyNumberFormat="1" applyFont="1" applyFill="1" applyAlignment="1">
      <alignment horizontal="center" vertical="center"/>
    </xf>
    <xf numFmtId="169" fontId="25" fillId="0" borderId="0" xfId="0" applyNumberFormat="1" applyFont="1" applyFill="1" applyAlignment="1">
      <alignment horizontal="center" vertical="center"/>
    </xf>
    <xf numFmtId="169" fontId="25" fillId="0" borderId="0" xfId="0" applyNumberFormat="1" applyFont="1" applyFill="1"/>
    <xf numFmtId="0" fontId="3" fillId="0" borderId="0" xfId="0" applyFont="1" applyFill="1" applyAlignment="1">
      <alignment wrapText="1"/>
    </xf>
    <xf numFmtId="2" fontId="25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169" fontId="25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left"/>
    </xf>
    <xf numFmtId="0" fontId="25" fillId="0" borderId="0" xfId="0" applyFont="1"/>
    <xf numFmtId="2" fontId="25" fillId="0" borderId="0" xfId="0" applyNumberFormat="1" applyFont="1" applyAlignment="1">
      <alignment horizontal="center" vertical="center"/>
    </xf>
    <xf numFmtId="169" fontId="25" fillId="0" borderId="0" xfId="0" applyNumberFormat="1" applyFont="1" applyAlignment="1">
      <alignment horizontal="center" vertical="center"/>
    </xf>
    <xf numFmtId="0" fontId="3" fillId="0" borderId="0" xfId="0" applyFont="1" applyAlignment="1" applyProtection="1">
      <alignment horizontal="center"/>
      <protection hidden="1"/>
    </xf>
    <xf numFmtId="0" fontId="3" fillId="0" borderId="15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25" fillId="0" borderId="21" xfId="0" applyFont="1" applyBorder="1"/>
    <xf numFmtId="0" fontId="1" fillId="0" borderId="0" xfId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/>
      <protection hidden="1"/>
    </xf>
    <xf numFmtId="0" fontId="3" fillId="0" borderId="12" xfId="0" applyFont="1" applyBorder="1" applyProtection="1">
      <protection hidden="1"/>
    </xf>
    <xf numFmtId="0" fontId="17" fillId="3" borderId="7" xfId="0" applyFont="1" applyFill="1" applyBorder="1" applyAlignment="1" applyProtection="1">
      <alignment horizontal="left" vertical="center"/>
      <protection locked="0"/>
    </xf>
    <xf numFmtId="1" fontId="3" fillId="4" borderId="7" xfId="0" applyNumberFormat="1" applyFont="1" applyFill="1" applyBorder="1" applyAlignment="1" applyProtection="1">
      <alignment horizontal="left" vertical="center"/>
      <protection locked="0"/>
    </xf>
    <xf numFmtId="0" fontId="17" fillId="3" borderId="7" xfId="0" applyFont="1" applyFill="1" applyBorder="1" applyProtection="1">
      <protection locked="0"/>
    </xf>
    <xf numFmtId="0" fontId="23" fillId="3" borderId="7" xfId="0" applyFont="1" applyFill="1" applyBorder="1" applyProtection="1">
      <protection locked="0"/>
    </xf>
    <xf numFmtId="0" fontId="17" fillId="3" borderId="7" xfId="0" applyFont="1" applyFill="1" applyBorder="1" applyAlignment="1" applyProtection="1">
      <alignment horizontal="left"/>
      <protection locked="0"/>
    </xf>
    <xf numFmtId="2" fontId="3" fillId="4" borderId="7" xfId="0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3" fillId="0" borderId="11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7" xfId="0" applyFont="1" applyBorder="1" applyAlignment="1" applyProtection="1">
      <alignment horizontal="center" vertical="top"/>
      <protection hidden="1"/>
    </xf>
    <xf numFmtId="0" fontId="3" fillId="0" borderId="8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 applyProtection="1">
      <alignment horizontal="center"/>
      <protection hidden="1"/>
    </xf>
    <xf numFmtId="0" fontId="3" fillId="0" borderId="16" xfId="0" applyFont="1" applyBorder="1" applyAlignment="1" applyProtection="1">
      <alignment horizontal="center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top" wrapText="1"/>
      <protection hidden="1"/>
    </xf>
    <xf numFmtId="0" fontId="20" fillId="0" borderId="17" xfId="0" applyFont="1" applyBorder="1" applyAlignment="1" applyProtection="1">
      <alignment vertical="center"/>
      <protection hidden="1"/>
    </xf>
    <xf numFmtId="0" fontId="20" fillId="0" borderId="18" xfId="0" applyFont="1" applyBorder="1" applyAlignment="1" applyProtection="1">
      <alignment vertical="center"/>
      <protection hidden="1"/>
    </xf>
    <xf numFmtId="0" fontId="20" fillId="0" borderId="19" xfId="0" applyFont="1" applyBorder="1" applyAlignment="1" applyProtection="1">
      <alignment vertical="center"/>
      <protection hidden="1"/>
    </xf>
    <xf numFmtId="0" fontId="20" fillId="0" borderId="17" xfId="0" applyFont="1" applyBorder="1" applyAlignment="1" applyProtection="1">
      <alignment horizontal="center" vertical="center"/>
      <protection hidden="1"/>
    </xf>
    <xf numFmtId="0" fontId="20" fillId="0" borderId="18" xfId="0" applyFont="1" applyBorder="1" applyAlignment="1" applyProtection="1">
      <alignment horizontal="center" vertical="center"/>
      <protection hidden="1"/>
    </xf>
    <xf numFmtId="0" fontId="20" fillId="0" borderId="19" xfId="0" applyFont="1" applyBorder="1" applyAlignment="1" applyProtection="1">
      <alignment horizontal="center" vertical="center"/>
      <protection hidden="1"/>
    </xf>
  </cellXfs>
  <cellStyles count="3">
    <cellStyle name="Гиперссылка" xfId="1" builtinId="8"/>
    <cellStyle name="Обычный" xfId="0" builtinId="0"/>
    <cellStyle name="Процентный" xfId="2" builtinId="5"/>
  </cellStyles>
  <dxfs count="145"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</border>
    </dxf>
    <dxf>
      <font>
        <b/>
        <i val="0"/>
        <color rgb="FFFF0000"/>
      </font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</border>
    </dxf>
    <dxf>
      <font>
        <b/>
        <i val="0"/>
        <color rgb="FFFF0000"/>
      </font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 val="0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</border>
    </dxf>
    <dxf>
      <font>
        <b/>
        <i val="0"/>
        <color rgb="FFFF0000"/>
      </font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</border>
    </dxf>
    <dxf>
      <font>
        <b/>
        <i val="0"/>
        <color rgb="FFFF0000"/>
      </font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 val="0"/>
      </font>
    </dxf>
    <dxf>
      <font>
        <b/>
        <i val="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</border>
    </dxf>
    <dxf>
      <font>
        <b/>
        <i val="0"/>
        <color rgb="FFFF0000"/>
      </font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 val="0"/>
        <color rgb="FF00B050"/>
      </font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</border>
    </dxf>
    <dxf>
      <font>
        <b/>
        <i val="0"/>
        <color rgb="FFFF0000"/>
      </font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</border>
    </dxf>
    <dxf>
      <font>
        <b/>
        <i val="0"/>
        <color rgb="FFFF0000"/>
      </font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alignment horizontal="center" vertical="center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protection locked="1" hidden="1"/>
    </dxf>
    <dxf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alignment horizontal="center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protection locked="1" hidden="1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solid">
          <fgColor indexed="64"/>
          <bgColor rgb="FFF5DF4D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169" formatCode="0.0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ISOCPEUR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center" vertical="center" textRotation="0" wrapText="0" indent="0" justifyLastLine="0" shrinkToFit="0" readingOrder="0"/>
    </dxf>
    <dxf>
      <border outline="0">
        <top style="thin">
          <color theme="1"/>
        </top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ISOCPEUR"/>
        <scheme val="none"/>
      </font>
    </dxf>
    <dxf>
      <font>
        <b val="0"/>
        <i val="0"/>
      </font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color theme="0"/>
      </font>
      <fill>
        <patternFill>
          <bgColor rgb="FF00148C"/>
        </patternFill>
      </fill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>
      <tableStyleElement type="wholeTable" dxfId="144"/>
      <tableStyleElement type="headerRow" dxfId="143"/>
      <tableStyleElement type="firstRowStripe" dxfId="142"/>
    </tableStyle>
  </tableStyles>
  <colors>
    <mruColors>
      <color rgb="FFCCECFF"/>
      <color rgb="FFFFFFCC"/>
      <color rgb="FFF5DF4D"/>
      <color rgb="FFFAA064"/>
      <color rgb="FF5A78FF"/>
      <color rgb="FF00148C"/>
      <color rgb="FFF67828"/>
      <color rgb="FF005387"/>
      <color rgb="FF939597"/>
      <color rgb="FF9595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636565</xdr:rowOff>
    </xdr:from>
    <xdr:to>
      <xdr:col>13</xdr:col>
      <xdr:colOff>176213</xdr:colOff>
      <xdr:row>37</xdr:row>
      <xdr:rowOff>7818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4"/>
        <a:stretch/>
      </xdr:blipFill>
      <xdr:spPr>
        <a:xfrm>
          <a:off x="0" y="7408840"/>
          <a:ext cx="10625138" cy="3809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682290</xdr:rowOff>
    </xdr:from>
    <xdr:to>
      <xdr:col>10</xdr:col>
      <xdr:colOff>157163</xdr:colOff>
      <xdr:row>31</xdr:row>
      <xdr:rowOff>5006</xdr:rowOff>
    </xdr:to>
    <xdr:pic>
      <xdr:nvPicPr>
        <xdr:cNvPr id="3" name="Рисунок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4"/>
        <a:stretch/>
      </xdr:blipFill>
      <xdr:spPr>
        <a:xfrm>
          <a:off x="0" y="7406940"/>
          <a:ext cx="10663238" cy="3895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327258</xdr:rowOff>
    </xdr:from>
    <xdr:to>
      <xdr:col>14</xdr:col>
      <xdr:colOff>1</xdr:colOff>
      <xdr:row>34</xdr:row>
      <xdr:rowOff>14920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"/>
        <a:stretch/>
      </xdr:blipFill>
      <xdr:spPr>
        <a:xfrm>
          <a:off x="0" y="7391121"/>
          <a:ext cx="10624985" cy="3937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3</xdr:row>
      <xdr:rowOff>9525</xdr:rowOff>
    </xdr:from>
    <xdr:ext cx="2846745" cy="3144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9525" y="457200"/>
              <a:ext cx="2846745" cy="3144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2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𝑤</m:t>
                        </m:r>
                      </m:e>
                      <m:sub>
                        <m:r>
                          <a:rPr lang="en-US" sz="1200" b="0" i="1">
                            <a:latin typeface="Cambria Math"/>
                          </a:rPr>
                          <m:t>+(−)</m:t>
                        </m:r>
                      </m:sub>
                    </m:sSub>
                    <m:r>
                      <a:rPr lang="en-US" sz="12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𝑤</m:t>
                        </m:r>
                      </m:e>
                      <m:sub>
                        <m:r>
                          <a:rPr lang="en-US" sz="1200" b="0" i="1">
                            <a:latin typeface="Cambria Math"/>
                          </a:rPr>
                          <m:t>0</m:t>
                        </m:r>
                      </m:sub>
                    </m:sSub>
                    <m:r>
                      <a:rPr lang="en-US" sz="1200" b="0" i="1">
                        <a:latin typeface="Cambria Math"/>
                      </a:rPr>
                      <m:t>𝑘</m:t>
                    </m:r>
                    <m:d>
                      <m:dPr>
                        <m:ctrlPr>
                          <a:rPr lang="en-US" sz="1200" b="0" i="1">
                            <a:latin typeface="Cambria Math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12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200" b="0" i="1">
                                <a:latin typeface="Cambria Math"/>
                              </a:rPr>
                              <m:t>𝑧</m:t>
                            </m:r>
                          </m:e>
                          <m:sub>
                            <m:r>
                              <a:rPr lang="en-US" sz="1200" b="0" i="1">
                                <a:latin typeface="Cambria Math"/>
                              </a:rPr>
                              <m:t>𝑒</m:t>
                            </m:r>
                          </m:sub>
                        </m:sSub>
                      </m:e>
                    </m:d>
                    <m:r>
                      <a:rPr lang="en-US" sz="1200" b="0" i="1">
                        <a:latin typeface="Cambria Math"/>
                      </a:rPr>
                      <m:t>[1+</m:t>
                    </m:r>
                    <m:r>
                      <a:rPr lang="el-GR" sz="1200" b="0" i="1">
                        <a:latin typeface="Cambria Math"/>
                      </a:rPr>
                      <m:t>𝜁</m:t>
                    </m:r>
                    <m:d>
                      <m:dPr>
                        <m:ctrlPr>
                          <a:rPr lang="el-GR" sz="1200" b="0" i="1">
                            <a:latin typeface="Cambria Math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l-GR" sz="12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1200" b="0" i="1">
                                <a:latin typeface="Cambria Math"/>
                              </a:rPr>
                              <m:t>𝑧</m:t>
                            </m:r>
                          </m:e>
                          <m:sub>
                            <m:r>
                              <a:rPr lang="en-US" sz="1200" b="0" i="1">
                                <a:latin typeface="Cambria Math"/>
                              </a:rPr>
                              <m:t>𝑒</m:t>
                            </m:r>
                          </m:sub>
                        </m:sSub>
                      </m:e>
                    </m:d>
                    <m:r>
                      <a:rPr lang="en-US" sz="1200" b="0" i="1">
                        <a:latin typeface="Cambria Math"/>
                      </a:rPr>
                      <m:t>]</m:t>
                    </m:r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𝑐</m:t>
                        </m:r>
                      </m:e>
                      <m:sub>
                        <m:r>
                          <a:rPr lang="en-US" sz="1200" b="0" i="1">
                            <a:latin typeface="Cambria Math"/>
                          </a:rPr>
                          <m:t>𝑝</m:t>
                        </m:r>
                        <m:r>
                          <a:rPr lang="en-US" sz="1200" b="0" i="1">
                            <a:latin typeface="Cambria Math"/>
                          </a:rPr>
                          <m:t>+(−)</m:t>
                        </m:r>
                      </m:sub>
                    </m:sSub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𝑣</m:t>
                        </m:r>
                      </m:e>
                      <m:sub>
                        <m:r>
                          <a:rPr lang="en-US" sz="1200" b="0" i="1">
                            <a:latin typeface="Cambria Math"/>
                          </a:rPr>
                          <m:t>+(−)</m:t>
                        </m:r>
                      </m:sub>
                    </m:sSub>
                  </m:oMath>
                </m:oMathPara>
              </a14:m>
              <a:endParaRPr lang="ru-RU" sz="1200" i="1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9525" y="457200"/>
              <a:ext cx="2846745" cy="3144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200" b="0" i="0">
                  <a:latin typeface="Cambria Math"/>
                </a:rPr>
                <a:t>𝑤</a:t>
              </a:r>
              <a:r>
                <a:rPr lang="ru-RU" sz="1200" b="0" i="0">
                  <a:latin typeface="Cambria Math"/>
                </a:rPr>
                <a:t>_(</a:t>
              </a:r>
              <a:r>
                <a:rPr lang="en-US" sz="1200" b="0" i="0">
                  <a:latin typeface="Cambria Math"/>
                </a:rPr>
                <a:t>+(−)</a:t>
              </a:r>
              <a:r>
                <a:rPr lang="ru-RU" sz="1200" b="0" i="0">
                  <a:latin typeface="Cambria Math"/>
                </a:rPr>
                <a:t>)</a:t>
              </a:r>
              <a:r>
                <a:rPr lang="en-US" sz="1200" b="0" i="0">
                  <a:latin typeface="Cambria Math"/>
                </a:rPr>
                <a:t>=𝑤_0 𝑘(𝑧_𝑒 )[1+</a:t>
              </a:r>
              <a:r>
                <a:rPr lang="el-GR" sz="1200" b="0" i="0">
                  <a:latin typeface="Cambria Math"/>
                </a:rPr>
                <a:t>𝜁(</a:t>
              </a:r>
              <a:r>
                <a:rPr lang="en-US" sz="1200" b="0" i="0">
                  <a:latin typeface="Cambria Math"/>
                </a:rPr>
                <a:t>𝑧</a:t>
              </a:r>
              <a:r>
                <a:rPr lang="el-GR" sz="1200" b="0" i="0">
                  <a:latin typeface="Cambria Math"/>
                </a:rPr>
                <a:t>_</a:t>
              </a:r>
              <a:r>
                <a:rPr lang="en-US" sz="1200" b="0" i="0">
                  <a:latin typeface="Cambria Math"/>
                </a:rPr>
                <a:t>𝑒 )]𝑐_(𝑝+(−)) 𝑣_(+(−))</a:t>
              </a:r>
              <a:endParaRPr lang="ru-RU" sz="1200" i="1"/>
            </a:p>
          </xdr:txBody>
        </xdr:sp>
      </mc:Fallback>
    </mc:AlternateContent>
    <xdr:clientData/>
  </xdr:oneCellAnchor>
  <xdr:oneCellAnchor>
    <xdr:from>
      <xdr:col>1</xdr:col>
      <xdr:colOff>638175</xdr:colOff>
      <xdr:row>13</xdr:row>
      <xdr:rowOff>257175</xdr:rowOff>
    </xdr:from>
    <xdr:ext cx="1828800" cy="26932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638175" y="2914650"/>
              <a:ext cx="1828800" cy="26932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2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𝑘</m:t>
                    </m:r>
                    <m:d>
                      <m:dPr>
                        <m:ctrlPr>
                          <a:rPr lang="en-US" sz="12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𝑧</m:t>
                            </m:r>
                          </m:e>
                          <m:sub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𝑒</m:t>
                            </m:r>
                          </m:sub>
                        </m:sSub>
                      </m:e>
                    </m:d>
                    <m:r>
                      <a:rPr lang="en-US" sz="1200" b="0" i="1">
                        <a:latin typeface="Cambria Math"/>
                      </a:rPr>
                      <m:t>=</m:t>
                    </m:r>
                    <m:sSup>
                      <m:sSupPr>
                        <m:ctrlPr>
                          <a:rPr lang="el-GR" sz="1200" b="0" i="1">
                            <a:latin typeface="Cambria Math"/>
                          </a:rPr>
                        </m:ctrlPr>
                      </m:sSupPr>
                      <m:e>
                        <m:sSub>
                          <m:sSubPr>
                            <m:ctrlP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𝑘</m:t>
                            </m:r>
                          </m:e>
                          <m:sub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10</m:t>
                            </m:r>
                          </m:sub>
                        </m:sSub>
                        <m:d>
                          <m:dPr>
                            <m:ctrlPr>
                              <a:rPr lang="el-GR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el-GR" sz="12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US" sz="12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𝑧</m:t>
                                </m:r>
                              </m:e>
                              <m:sub>
                                <m:r>
                                  <a:rPr lang="en-US" sz="12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𝑒</m:t>
                                </m:r>
                              </m:sub>
                            </m:sSub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/10</m:t>
                            </m:r>
                          </m:e>
                        </m:d>
                      </m:e>
                      <m:sup>
                        <m:r>
                          <a:rPr lang="en-US" sz="1200" b="0" i="1">
                            <a:latin typeface="Cambria Math"/>
                          </a:rPr>
                          <m:t>2</m:t>
                        </m:r>
                        <m:r>
                          <m:rPr>
                            <m:sty m:val="p"/>
                          </m:rPr>
                          <a:rPr lang="el-GR" sz="1200" b="0" i="1">
                            <a:latin typeface="Cambria Math"/>
                          </a:rPr>
                          <m:t>α</m:t>
                        </m:r>
                      </m:sup>
                    </m:sSup>
                    <m:r>
                      <a:rPr lang="en-US" sz="1200" b="0" i="1">
                        <a:latin typeface="Cambria Math"/>
                      </a:rPr>
                      <m:t>=</m:t>
                    </m:r>
                  </m:oMath>
                </m:oMathPara>
              </a14:m>
              <a:endParaRPr lang="ru-RU" sz="1200" i="1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638175" y="2914650"/>
              <a:ext cx="1828800" cy="26932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𝑘(𝑧_𝑒 )</a:t>
              </a:r>
              <a:r>
                <a:rPr lang="en-US" sz="1200" b="0" i="0">
                  <a:latin typeface="Cambria Math"/>
                </a:rPr>
                <a:t>=</a:t>
              </a:r>
              <a:r>
                <a:rPr lang="el-GR" sz="1200" b="0" i="0">
                  <a:latin typeface="Cambria Math"/>
                </a:rPr>
                <a:t>〖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𝑘_10</a:t>
              </a:r>
              <a:r>
                <a:rPr lang="el-GR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(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𝑧</a:t>
              </a:r>
              <a:r>
                <a:rPr lang="el-GR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𝑒/10)</a:t>
              </a:r>
              <a:r>
                <a:rPr lang="el-GR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〗^</a:t>
              </a:r>
              <a:r>
                <a:rPr lang="en-US" sz="1200" b="0" i="0">
                  <a:latin typeface="Cambria Math"/>
                </a:rPr>
                <a:t>2</a:t>
              </a:r>
              <a:r>
                <a:rPr lang="el-GR" sz="1200" b="0" i="0">
                  <a:latin typeface="Cambria Math"/>
                </a:rPr>
                <a:t>α</a:t>
              </a:r>
              <a:r>
                <a:rPr lang="en-US" sz="1200" b="0" i="0">
                  <a:latin typeface="Cambria Math"/>
                </a:rPr>
                <a:t>=</a:t>
              </a:r>
              <a:endParaRPr lang="ru-RU" sz="1200" i="1"/>
            </a:p>
          </xdr:txBody>
        </xdr:sp>
      </mc:Fallback>
    </mc:AlternateContent>
    <xdr:clientData/>
  </xdr:oneCellAnchor>
  <xdr:oneCellAnchor>
    <xdr:from>
      <xdr:col>1</xdr:col>
      <xdr:colOff>638175</xdr:colOff>
      <xdr:row>18</xdr:row>
      <xdr:rowOff>0</xdr:rowOff>
    </xdr:from>
    <xdr:ext cx="1638299" cy="25684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/>
            <xdr:cNvSpPr txBox="1"/>
          </xdr:nvSpPr>
          <xdr:spPr>
            <a:xfrm>
              <a:off x="638175" y="3781425"/>
              <a:ext cx="1638299" cy="2568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2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ζ</m:t>
                    </m:r>
                    <m:d>
                      <m:dPr>
                        <m:ctrlPr>
                          <a:rPr lang="en-US" sz="12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dPr>
                      <m:e>
                        <m:sSub>
                          <m:sSubPr>
                            <m:ctrlP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𝑧</m:t>
                            </m:r>
                          </m:e>
                          <m:sub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𝑒</m:t>
                            </m:r>
                          </m:sub>
                        </m:sSub>
                      </m:e>
                    </m:d>
                    <m:r>
                      <a:rPr lang="en-US" sz="1200" b="0" i="1">
                        <a:latin typeface="Cambria Math"/>
                      </a:rPr>
                      <m:t>=</m:t>
                    </m:r>
                    <m:sSup>
                      <m:sSupPr>
                        <m:ctrlPr>
                          <a:rPr lang="el-GR" sz="1200" b="0" i="1">
                            <a:latin typeface="Cambria Math"/>
                          </a:rPr>
                        </m:ctrlPr>
                      </m:sSupPr>
                      <m:e>
                        <m:sSub>
                          <m:sSubPr>
                            <m:ctrlP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m:rPr>
                                <m:sty m:val="p"/>
                              </m:rPr>
                              <a:rPr lang="el-GR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ζ</m:t>
                            </m:r>
                          </m:e>
                          <m:sub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10</m:t>
                            </m:r>
                          </m:sub>
                        </m:sSub>
                        <m:d>
                          <m:dPr>
                            <m:ctrlPr>
                              <a:rPr lang="el-GR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el-GR" sz="12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US" sz="12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𝑧</m:t>
                                </m:r>
                              </m:e>
                              <m:sub>
                                <m:r>
                                  <a:rPr lang="en-US" sz="12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𝑒</m:t>
                                </m:r>
                              </m:sub>
                            </m:sSub>
                            <m:r>
                              <a:rPr lang="en-US" sz="12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/10</m:t>
                            </m:r>
                          </m:e>
                        </m:d>
                      </m:e>
                      <m:sup>
                        <m:r>
                          <a:rPr lang="en-US" sz="1200" b="0" i="1">
                            <a:latin typeface="Cambria Math"/>
                          </a:rPr>
                          <m:t>−</m:t>
                        </m:r>
                        <m:r>
                          <m:rPr>
                            <m:sty m:val="p"/>
                          </m:rPr>
                          <a:rPr lang="el-GR" sz="1200" b="0" i="1">
                            <a:latin typeface="Cambria Math"/>
                          </a:rPr>
                          <m:t>α</m:t>
                        </m:r>
                      </m:sup>
                    </m:sSup>
                  </m:oMath>
                </m:oMathPara>
              </a14:m>
              <a:endParaRPr lang="ru-RU" sz="1200" i="1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638175" y="3781425"/>
              <a:ext cx="1638299" cy="2568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l-GR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ζ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(𝑧_𝑒 )</a:t>
              </a:r>
              <a:r>
                <a:rPr lang="en-US" sz="1200" b="0" i="0">
                  <a:latin typeface="Cambria Math"/>
                </a:rPr>
                <a:t>=</a:t>
              </a:r>
              <a:r>
                <a:rPr lang="el-GR" sz="1200" b="0" i="0">
                  <a:latin typeface="Cambria Math"/>
                </a:rPr>
                <a:t>〖</a:t>
              </a:r>
              <a:r>
                <a:rPr lang="el-GR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ζ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_10</a:t>
              </a:r>
              <a:r>
                <a:rPr lang="el-GR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(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𝑧</a:t>
              </a:r>
              <a:r>
                <a:rPr lang="el-GR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</a:t>
              </a:r>
              <a:r>
                <a:rPr lang="en-US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𝑒/10)</a:t>
              </a:r>
              <a:r>
                <a:rPr lang="el-GR" sz="12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〗^(</a:t>
              </a:r>
              <a:r>
                <a:rPr lang="en-US" sz="1200" b="0" i="0">
                  <a:latin typeface="Cambria Math"/>
                </a:rPr>
                <a:t>−</a:t>
              </a:r>
              <a:r>
                <a:rPr lang="el-GR" sz="1200" b="0" i="0">
                  <a:latin typeface="Cambria Math"/>
                </a:rPr>
                <a:t>α)</a:t>
              </a:r>
              <a:endParaRPr lang="ru-RU" sz="1200" i="1"/>
            </a:p>
          </xdr:txBody>
        </xdr:sp>
      </mc:Fallback>
    </mc:AlternateContent>
    <xdr:clientData/>
  </xdr:oneCellAnchor>
  <xdr:twoCellAnchor editAs="oneCell">
    <xdr:from>
      <xdr:col>9</xdr:col>
      <xdr:colOff>18317</xdr:colOff>
      <xdr:row>15</xdr:row>
      <xdr:rowOff>27365</xdr:rowOff>
    </xdr:from>
    <xdr:to>
      <xdr:col>14</xdr:col>
      <xdr:colOff>915865</xdr:colOff>
      <xdr:row>25</xdr:row>
      <xdr:rowOff>35033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3740" y="3405077"/>
          <a:ext cx="3227510" cy="21764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655559</xdr:rowOff>
    </xdr:from>
    <xdr:to>
      <xdr:col>16</xdr:col>
      <xdr:colOff>3174</xdr:colOff>
      <xdr:row>32</xdr:row>
      <xdr:rowOff>374080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69"/>
        <a:stretch/>
      </xdr:blipFill>
      <xdr:spPr>
        <a:xfrm>
          <a:off x="0" y="7408784"/>
          <a:ext cx="10658474" cy="385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11504</xdr:colOff>
      <xdr:row>7</xdr:row>
      <xdr:rowOff>207214</xdr:rowOff>
    </xdr:from>
    <xdr:ext cx="1533524" cy="2456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669268" y="1634167"/>
              <a:ext cx="1533524" cy="2456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𝑤</m:t>
                        </m:r>
                      </m:e>
                      <m:sub>
                        <m:r>
                          <a:rPr lang="ru-RU" sz="1200" b="0" i="1">
                            <a:latin typeface="Cambria Math"/>
                          </a:rPr>
                          <m:t>расч</m:t>
                        </m:r>
                      </m:sub>
                    </m:sSub>
                    <m:r>
                      <a:rPr lang="en-US" sz="12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𝑤</m:t>
                        </m:r>
                      </m:e>
                      <m:sub>
                        <m:r>
                          <a:rPr lang="ru-RU" sz="1200" b="0" i="1">
                            <a:latin typeface="Cambria Math"/>
                          </a:rPr>
                          <m:t>норм</m:t>
                        </m:r>
                      </m:sub>
                    </m:sSub>
                    <m:r>
                      <a:rPr lang="en-US" sz="1200" b="0" i="1">
                        <a:latin typeface="Cambria Math"/>
                        <a:ea typeface="Cambria Math"/>
                      </a:rPr>
                      <m:t>∙</m:t>
                    </m:r>
                    <m:sSub>
                      <m:sSubPr>
                        <m:ctrlPr>
                          <a:rPr lang="en-US" sz="1200" b="0" i="1">
                            <a:latin typeface="Cambria Math"/>
                            <a:ea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  <a:ea typeface="Cambria Math"/>
                          </a:rPr>
                          <m:t>𝛾</m:t>
                        </m:r>
                      </m:e>
                      <m:sub>
                        <m:r>
                          <a:rPr lang="en-US" sz="1200" b="0" i="1">
                            <a:latin typeface="Cambria Math"/>
                            <a:ea typeface="Cambria Math"/>
                          </a:rPr>
                          <m:t>𝑓</m:t>
                        </m:r>
                      </m:sub>
                    </m:sSub>
                  </m:oMath>
                </m:oMathPara>
              </a14:m>
              <a:endParaRPr lang="ru-RU" sz="1200" i="1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669268" y="1634167"/>
              <a:ext cx="1533524" cy="2456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200" b="0" i="0">
                  <a:latin typeface="Cambria Math"/>
                </a:rPr>
                <a:t>𝑤_</a:t>
              </a:r>
              <a:r>
                <a:rPr lang="ru-RU" sz="1200" b="0" i="0">
                  <a:latin typeface="Cambria Math"/>
                </a:rPr>
                <a:t>расч</a:t>
              </a:r>
              <a:r>
                <a:rPr lang="en-US" sz="1200" b="0" i="0">
                  <a:latin typeface="Cambria Math"/>
                </a:rPr>
                <a:t>=𝑤_</a:t>
              </a:r>
              <a:r>
                <a:rPr lang="ru-RU" sz="1200" b="0" i="0">
                  <a:latin typeface="Cambria Math"/>
                </a:rPr>
                <a:t>норм</a:t>
              </a:r>
              <a:r>
                <a:rPr lang="en-US" sz="1200" b="0" i="0">
                  <a:latin typeface="Cambria Math"/>
                  <a:ea typeface="Cambria Math"/>
                </a:rPr>
                <a:t>∙𝛾_𝑓</a:t>
              </a:r>
              <a:endParaRPr lang="ru-RU" sz="1200" i="1"/>
            </a:p>
          </xdr:txBody>
        </xdr:sp>
      </mc:Fallback>
    </mc:AlternateContent>
    <xdr:clientData/>
  </xdr:oneCellAnchor>
  <xdr:oneCellAnchor>
    <xdr:from>
      <xdr:col>2</xdr:col>
      <xdr:colOff>0</xdr:colOff>
      <xdr:row>17</xdr:row>
      <xdr:rowOff>0</xdr:rowOff>
    </xdr:from>
    <xdr:ext cx="1533524" cy="25684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657225" y="4762500"/>
              <a:ext cx="1533524" cy="2568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𝑃</m:t>
                        </m:r>
                      </m:e>
                      <m:sub>
                        <m:r>
                          <a:rPr lang="ru-RU" sz="1200" b="0" i="1">
                            <a:latin typeface="Cambria Math"/>
                          </a:rPr>
                          <m:t>расч</m:t>
                        </m:r>
                      </m:sub>
                    </m:sSub>
                    <m:r>
                      <a:rPr lang="en-US" sz="12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𝑃</m:t>
                        </m:r>
                      </m:e>
                      <m:sub>
                        <m:r>
                          <a:rPr lang="ru-RU" sz="1200" b="0" i="1">
                            <a:latin typeface="Cambria Math"/>
                          </a:rPr>
                          <m:t>норм</m:t>
                        </m:r>
                      </m:sub>
                    </m:sSub>
                    <m:r>
                      <a:rPr lang="en-US" sz="1200" b="0" i="1">
                        <a:latin typeface="Cambria Math"/>
                        <a:ea typeface="Cambria Math"/>
                      </a:rPr>
                      <m:t>∙</m:t>
                    </m:r>
                    <m:sSub>
                      <m:sSubPr>
                        <m:ctrlPr>
                          <a:rPr lang="en-US" sz="1200" b="0" i="1">
                            <a:latin typeface="Cambria Math"/>
                            <a:ea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  <a:ea typeface="Cambria Math"/>
                          </a:rPr>
                          <m:t>𝛾</m:t>
                        </m:r>
                      </m:e>
                      <m:sub>
                        <m:r>
                          <a:rPr lang="en-US" sz="1200" b="0" i="1">
                            <a:latin typeface="Cambria Math"/>
                            <a:ea typeface="Cambria Math"/>
                          </a:rPr>
                          <m:t>𝑓</m:t>
                        </m:r>
                      </m:sub>
                    </m:sSub>
                  </m:oMath>
                </m:oMathPara>
              </a14:m>
              <a:endParaRPr lang="ru-RU" sz="1200" i="1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657225" y="4762500"/>
              <a:ext cx="1533524" cy="2568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200" b="0" i="0">
                  <a:latin typeface="Cambria Math"/>
                </a:rPr>
                <a:t>𝑃_</a:t>
              </a:r>
              <a:r>
                <a:rPr lang="ru-RU" sz="1200" b="0" i="0">
                  <a:latin typeface="Cambria Math"/>
                </a:rPr>
                <a:t>расч</a:t>
              </a:r>
              <a:r>
                <a:rPr lang="en-US" sz="1200" b="0" i="0">
                  <a:latin typeface="Cambria Math"/>
                </a:rPr>
                <a:t>=𝑃_</a:t>
              </a:r>
              <a:r>
                <a:rPr lang="ru-RU" sz="1200" b="0" i="0">
                  <a:latin typeface="Cambria Math"/>
                </a:rPr>
                <a:t>норм</a:t>
              </a:r>
              <a:r>
                <a:rPr lang="en-US" sz="1200" b="0" i="0">
                  <a:latin typeface="Cambria Math"/>
                  <a:ea typeface="Cambria Math"/>
                </a:rPr>
                <a:t>∙𝛾_𝑓</a:t>
              </a:r>
              <a:endParaRPr lang="ru-RU" sz="1200" i="1"/>
            </a:p>
          </xdr:txBody>
        </xdr:sp>
      </mc:Fallback>
    </mc:AlternateContent>
    <xdr:clientData/>
  </xdr:oneCellAnchor>
  <xdr:oneCellAnchor>
    <xdr:from>
      <xdr:col>2</xdr:col>
      <xdr:colOff>9525</xdr:colOff>
      <xdr:row>26</xdr:row>
      <xdr:rowOff>1079</xdr:rowOff>
    </xdr:from>
    <xdr:ext cx="1628775" cy="20739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/>
            <xdr:cNvSpPr txBox="1"/>
          </xdr:nvSpPr>
          <xdr:spPr>
            <a:xfrm>
              <a:off x="667289" y="5730456"/>
              <a:ext cx="1628775" cy="20739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200" b="0" i="1">
                            <a:latin typeface="Cambria Math"/>
                          </a:rPr>
                          <m:t>𝐶</m:t>
                        </m:r>
                      </m:e>
                      <m:sub>
                        <m:r>
                          <a:rPr lang="en-US" sz="1200" b="0" i="1">
                            <a:latin typeface="Cambria Math"/>
                          </a:rPr>
                          <m:t>𝑚</m:t>
                        </m:r>
                      </m:sub>
                    </m:sSub>
                    <m:r>
                      <a:rPr lang="en-US" sz="12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en-US" sz="1200" b="0" i="1">
                            <a:latin typeface="Cambria Math"/>
                          </a:rPr>
                        </m:ctrlPr>
                      </m:sSubPr>
                      <m:e>
                        <m:r>
                          <m:rPr>
                            <m:sty m:val="p"/>
                          </m:rPr>
                          <a:rPr lang="el-GR" sz="1200" b="0" i="1">
                            <a:latin typeface="Cambria Math"/>
                          </a:rPr>
                          <m:t>ψ</m:t>
                        </m:r>
                      </m:e>
                      <m:sub>
                        <m:r>
                          <a:rPr lang="en-US" sz="1200" b="0" i="1">
                            <a:latin typeface="Cambria Math"/>
                          </a:rPr>
                          <m:t>𝑡</m:t>
                        </m:r>
                        <m:r>
                          <a:rPr lang="en-US" sz="1200" b="0" i="1">
                            <a:latin typeface="Cambria Math"/>
                          </a:rPr>
                          <m:t>1</m:t>
                        </m:r>
                      </m:sub>
                    </m:sSub>
                    <m:r>
                      <a:rPr lang="en-US" sz="1200" b="0" i="1">
                        <a:latin typeface="Cambria Math"/>
                        <a:ea typeface="Cambria Math"/>
                      </a:rPr>
                      <m:t>∙</m:t>
                    </m:r>
                    <m:r>
                      <a:rPr lang="en-US" sz="1200" b="0" i="1">
                        <a:latin typeface="Cambria Math"/>
                        <a:ea typeface="Cambria Math"/>
                      </a:rPr>
                      <m:t>𝑤</m:t>
                    </m:r>
                    <m:r>
                      <a:rPr lang="en-US" sz="1200" b="0" i="1">
                        <a:latin typeface="Cambria Math"/>
                        <a:ea typeface="Cambria Math"/>
                      </a:rPr>
                      <m:t>+</m:t>
                    </m:r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m:rPr>
                            <m:sty m:val="p"/>
                          </m:rPr>
                          <a:rPr lang="el-GR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ψ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𝑡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∙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𝑃</m:t>
                    </m:r>
                  </m:oMath>
                </m:oMathPara>
              </a14:m>
              <a:endParaRPr lang="ru-RU" sz="1200" i="1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667289" y="5730456"/>
              <a:ext cx="1628775" cy="20739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200" b="0" i="0">
                  <a:latin typeface="Cambria Math"/>
                </a:rPr>
                <a:t>𝐶_𝑚=</a:t>
              </a:r>
              <a:r>
                <a:rPr lang="el-GR" sz="1200" b="0" i="0">
                  <a:latin typeface="Cambria Math"/>
                </a:rPr>
                <a:t>ψ</a:t>
              </a:r>
              <a:r>
                <a:rPr lang="en-US" sz="1200" b="0" i="0">
                  <a:latin typeface="Cambria Math"/>
                </a:rPr>
                <a:t>_𝑡1</a:t>
              </a:r>
              <a:r>
                <a:rPr lang="en-US" sz="1200" b="0" i="0">
                  <a:latin typeface="Cambria Math"/>
                  <a:ea typeface="Cambria Math"/>
                </a:rPr>
                <a:t>∙𝑤+</a:t>
              </a:r>
              <a:r>
                <a:rPr lang="el-G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ψ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_𝑡2∙𝑃</a:t>
              </a:r>
              <a:endParaRPr lang="ru-RU" sz="1200" i="1"/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32</xdr:row>
      <xdr:rowOff>317957</xdr:rowOff>
    </xdr:from>
    <xdr:to>
      <xdr:col>15</xdr:col>
      <xdr:colOff>157033</xdr:colOff>
      <xdr:row>33</xdr:row>
      <xdr:rowOff>376621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"/>
        <a:stretch/>
      </xdr:blipFill>
      <xdr:spPr>
        <a:xfrm>
          <a:off x="0" y="7425666"/>
          <a:ext cx="10660276" cy="38302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1808129</xdr:colOff>
      <xdr:row>6</xdr:row>
      <xdr:rowOff>177327</xdr:rowOff>
    </xdr:from>
    <xdr:ext cx="754096" cy="44614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2970179" y="1472727"/>
              <a:ext cx="754096" cy="4461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λ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𝑥</m:t>
                    </m:r>
                    <m:r>
                      <a:rPr lang="ru-RU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𝑙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𝑒𝑓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𝑖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𝑥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2970179" y="1472727"/>
              <a:ext cx="754096" cy="4461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l-G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λ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𝑥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𝑙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𝑒𝑓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𝑖_𝑥 </a:t>
              </a:r>
              <a:endParaRPr lang="ru-RU" sz="1100"/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29</xdr:row>
      <xdr:rowOff>4527</xdr:rowOff>
    </xdr:from>
    <xdr:to>
      <xdr:col>13</xdr:col>
      <xdr:colOff>333</xdr:colOff>
      <xdr:row>29</xdr:row>
      <xdr:rowOff>377504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"/>
        <a:stretch/>
      </xdr:blipFill>
      <xdr:spPr>
        <a:xfrm>
          <a:off x="0" y="7424502"/>
          <a:ext cx="10617777" cy="372977"/>
        </a:xfrm>
        <a:prstGeom prst="rect">
          <a:avLst/>
        </a:prstGeom>
      </xdr:spPr>
    </xdr:pic>
    <xdr:clientData/>
  </xdr:twoCellAnchor>
  <xdr:oneCellAnchor>
    <xdr:from>
      <xdr:col>2</xdr:col>
      <xdr:colOff>1799528</xdr:colOff>
      <xdr:row>7</xdr:row>
      <xdr:rowOff>381000</xdr:rowOff>
    </xdr:from>
    <xdr:ext cx="762000" cy="2754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/>
            <xdr:cNvSpPr txBox="1"/>
          </xdr:nvSpPr>
          <xdr:spPr>
            <a:xfrm>
              <a:off x="2965760" y="1881768"/>
              <a:ext cx="762000" cy="2754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𝑙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𝑒𝑓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𝜇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𝑙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11" name="TextBox 10"/>
            <xdr:cNvSpPr txBox="1"/>
          </xdr:nvSpPr>
          <xdr:spPr>
            <a:xfrm>
              <a:off x="2965760" y="1881768"/>
              <a:ext cx="762000" cy="2754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𝑙</a:t>
              </a:r>
              <a:r>
                <a:rPr lang="ru-RU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𝑒𝑓=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𝜇𝑙</a:t>
              </a:r>
              <a:endParaRPr lang="ru-RU" sz="1100"/>
            </a:p>
          </xdr:txBody>
        </xdr:sp>
      </mc:Fallback>
    </mc:AlternateContent>
    <xdr:clientData/>
  </xdr:oneCellAnchor>
  <xdr:twoCellAnchor editAs="oneCell">
    <xdr:from>
      <xdr:col>5</xdr:col>
      <xdr:colOff>28575</xdr:colOff>
      <xdr:row>10</xdr:row>
      <xdr:rowOff>17277</xdr:rowOff>
    </xdr:from>
    <xdr:to>
      <xdr:col>11</xdr:col>
      <xdr:colOff>1171575</xdr:colOff>
      <xdr:row>14</xdr:row>
      <xdr:rowOff>373557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43525" y="2398527"/>
          <a:ext cx="4848225" cy="1213530"/>
        </a:xfrm>
        <a:prstGeom prst="rect">
          <a:avLst/>
        </a:prstGeom>
      </xdr:spPr>
    </xdr:pic>
    <xdr:clientData/>
  </xdr:twoCellAnchor>
  <xdr:oneCellAnchor>
    <xdr:from>
      <xdr:col>2</xdr:col>
      <xdr:colOff>1677819</xdr:colOff>
      <xdr:row>14</xdr:row>
      <xdr:rowOff>12363</xdr:rowOff>
    </xdr:from>
    <xdr:ext cx="984687" cy="4000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>
              <a:extLst/>
            </xdr:cNvPr>
            <xdr:cNvSpPr txBox="1"/>
          </xdr:nvSpPr>
          <xdr:spPr>
            <a:xfrm>
              <a:off x="2926202" y="3181959"/>
              <a:ext cx="984687" cy="4000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𝑖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𝑥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𝑚𝑖𝑛</m:t>
                        </m:r>
                      </m:sub>
                    </m:sSub>
                    <m:r>
                      <a:rPr lang="ru-RU" sz="1100" i="0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𝑙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𝑒𝑓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</m:ctrlPr>
                          </m:sSubPr>
                          <m:e>
                            <m:r>
                              <m:rPr>
                                <m:sty m:val="p"/>
                              </m:rPr>
                              <a:rPr lang="el-G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/>
                                <a:cs typeface="+mn-cs"/>
                              </a:rPr>
                              <m:t>λ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/>
                                <a:cs typeface="+mn-cs"/>
                              </a:rPr>
                              <m:t>𝑢</m:t>
                            </m:r>
                          </m:sub>
                        </m:sSub>
                      </m:den>
                    </m:f>
                    <m:r>
                      <a:rPr lang="ru-RU" sz="1100" b="0" i="1">
                        <a:latin typeface="Cambria Math"/>
                      </a:rPr>
                      <m:t>=</m:t>
                    </m:r>
                  </m:oMath>
                </m:oMathPara>
              </a14:m>
              <a:endParaRPr lang="en-US" sz="1100" b="0">
                <a:solidFill>
                  <a:schemeClr val="tx1"/>
                </a:solidFill>
                <a:effectLst/>
                <a:latin typeface="+mn-lt"/>
                <a:ea typeface="Cambria Math" panose="02040503050406030204" pitchFamily="18" charset="0"/>
                <a:cs typeface="+mn-cs"/>
              </a:endParaRPr>
            </a:p>
          </xdr:txBody>
        </xdr:sp>
      </mc:Choice>
      <mc:Fallback xmlns="">
        <xdr:sp macro="" textlink="">
          <xdr:nvSpPr>
            <xdr:cNvPr id="10" name="TextBox 9">
              <a:extLst/>
            </xdr:cNvPr>
            <xdr:cNvSpPr txBox="1"/>
          </xdr:nvSpPr>
          <xdr:spPr>
            <a:xfrm>
              <a:off x="2926202" y="3181959"/>
              <a:ext cx="984687" cy="4000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𝑖_(𝑥 𝑚𝑖𝑛)</a:t>
              </a:r>
              <a:r>
                <a:rPr lang="ru-RU" sz="1100" i="0">
                  <a:latin typeface="Cambria Math"/>
                </a:rPr>
                <a:t>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𝑙_𝑒𝑓/</a:t>
              </a:r>
              <a:r>
                <a:rPr lang="el-G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λ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_𝑢 </a:t>
              </a:r>
              <a:r>
                <a:rPr lang="ru-RU" sz="1100" b="0" i="0">
                  <a:latin typeface="Cambria Math"/>
                </a:rPr>
                <a:t>=</a:t>
              </a:r>
              <a:endParaRPr lang="en-US" sz="1100" b="0">
                <a:solidFill>
                  <a:schemeClr val="tx1"/>
                </a:solidFill>
                <a:effectLst/>
                <a:latin typeface="+mn-lt"/>
                <a:ea typeface="Cambria Math" panose="02040503050406030204" pitchFamily="18" charset="0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2</xdr:col>
      <xdr:colOff>1885950</xdr:colOff>
      <xdr:row>15</xdr:row>
      <xdr:rowOff>19050</xdr:rowOff>
    </xdr:from>
    <xdr:ext cx="762000" cy="42383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/>
            <xdr:cNvSpPr txBox="1"/>
          </xdr:nvSpPr>
          <xdr:spPr>
            <a:xfrm>
              <a:off x="3133725" y="3733800"/>
              <a:ext cx="762000" cy="4238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λ</m:t>
                    </m:r>
                    <m:r>
                      <a:rPr lang="ru-RU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𝑙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𝑒𝑓</m:t>
                            </m:r>
                          </m:sub>
                        </m:sSub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𝑖</m:t>
                        </m:r>
                      </m:den>
                    </m:f>
                    <m:r>
                      <a:rPr lang="ru-RU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12" name="TextBox 11"/>
            <xdr:cNvSpPr txBox="1"/>
          </xdr:nvSpPr>
          <xdr:spPr>
            <a:xfrm>
              <a:off x="3133725" y="3733800"/>
              <a:ext cx="762000" cy="4238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l-G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λ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𝑙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𝑒𝑓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𝑖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1743074</xdr:colOff>
      <xdr:row>17</xdr:row>
      <xdr:rowOff>180975</xdr:rowOff>
    </xdr:from>
    <xdr:ext cx="828676" cy="46596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12"/>
            <xdr:cNvSpPr txBox="1"/>
          </xdr:nvSpPr>
          <xdr:spPr>
            <a:xfrm>
              <a:off x="2905124" y="4391025"/>
              <a:ext cx="828676" cy="4659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m:rPr>
                            <m:sty m:val="p"/>
                          </m:rPr>
                          <a:rPr lang="el-GR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λ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𝑦</m:t>
                        </m:r>
                      </m:sub>
                    </m:sSub>
                    <m:r>
                      <a:rPr lang="ru-RU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𝑙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𝑒𝑓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𝑖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13" name="TextBox 12"/>
            <xdr:cNvSpPr txBox="1"/>
          </xdr:nvSpPr>
          <xdr:spPr>
            <a:xfrm>
              <a:off x="2905124" y="4391025"/>
              <a:ext cx="828676" cy="4659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l-G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λ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𝑦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𝑙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𝑒𝑓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𝑖_𝑦 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1828800</xdr:colOff>
      <xdr:row>19</xdr:row>
      <xdr:rowOff>0</xdr:rowOff>
    </xdr:from>
    <xdr:ext cx="762000" cy="2754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13"/>
            <xdr:cNvSpPr txBox="1"/>
          </xdr:nvSpPr>
          <xdr:spPr>
            <a:xfrm>
              <a:off x="2990850" y="4800600"/>
              <a:ext cx="762000" cy="2754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𝑙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𝑒𝑓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𝜇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𝑙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14" name="TextBox 13"/>
            <xdr:cNvSpPr txBox="1"/>
          </xdr:nvSpPr>
          <xdr:spPr>
            <a:xfrm>
              <a:off x="2990850" y="4800600"/>
              <a:ext cx="762000" cy="2754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𝑙</a:t>
              </a:r>
              <a:r>
                <a:rPr lang="ru-RU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𝑒𝑓=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𝜇𝑙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1695450</xdr:colOff>
      <xdr:row>25</xdr:row>
      <xdr:rowOff>19050</xdr:rowOff>
    </xdr:from>
    <xdr:ext cx="984687" cy="4000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TextBox 15">
              <a:extLst/>
            </xdr:cNvPr>
            <xdr:cNvSpPr txBox="1"/>
          </xdr:nvSpPr>
          <xdr:spPr>
            <a:xfrm>
              <a:off x="2943225" y="6477000"/>
              <a:ext cx="984687" cy="4000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𝑖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𝑦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𝑚𝑖𝑛</m:t>
                        </m:r>
                      </m:sub>
                    </m:sSub>
                    <m:r>
                      <a:rPr lang="ru-RU" sz="1100" i="0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𝑙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𝑒𝑓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</m:ctrlPr>
                          </m:sSubPr>
                          <m:e>
                            <m:r>
                              <m:rPr>
                                <m:sty m:val="p"/>
                              </m:rPr>
                              <a:rPr lang="el-GR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/>
                                <a:cs typeface="+mn-cs"/>
                              </a:rPr>
                              <m:t>λ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Cambria Math"/>
                                <a:cs typeface="+mn-cs"/>
                              </a:rPr>
                              <m:t>𝑢</m:t>
                            </m:r>
                          </m:sub>
                        </m:sSub>
                      </m:den>
                    </m:f>
                    <m:r>
                      <a:rPr lang="ru-RU" sz="1100" b="0" i="1">
                        <a:latin typeface="Cambria Math"/>
                      </a:rPr>
                      <m:t>=</m:t>
                    </m:r>
                  </m:oMath>
                </m:oMathPara>
              </a14:m>
              <a:endParaRPr lang="en-US" sz="1100" b="0">
                <a:solidFill>
                  <a:schemeClr val="tx1"/>
                </a:solidFill>
                <a:effectLst/>
                <a:latin typeface="+mn-lt"/>
                <a:ea typeface="Cambria Math" panose="02040503050406030204" pitchFamily="18" charset="0"/>
                <a:cs typeface="+mn-cs"/>
              </a:endParaRPr>
            </a:p>
          </xdr:txBody>
        </xdr:sp>
      </mc:Choice>
      <mc:Fallback xmlns="">
        <xdr:sp macro="" textlink="">
          <xdr:nvSpPr>
            <xdr:cNvPr id="16" name="TextBox 15">
              <a:extLst/>
            </xdr:cNvPr>
            <xdr:cNvSpPr txBox="1"/>
          </xdr:nvSpPr>
          <xdr:spPr>
            <a:xfrm>
              <a:off x="2943225" y="6477000"/>
              <a:ext cx="984687" cy="4000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𝑖_(𝑦 𝑚𝑖𝑛)</a:t>
              </a:r>
              <a:r>
                <a:rPr lang="ru-RU" sz="1100" i="0">
                  <a:latin typeface="Cambria Math"/>
                </a:rPr>
                <a:t>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𝑙_𝑒𝑓/</a:t>
              </a:r>
              <a:r>
                <a:rPr lang="el-GR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λ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_𝑢 </a:t>
              </a:r>
              <a:r>
                <a:rPr lang="ru-RU" sz="1100" b="0" i="0">
                  <a:latin typeface="Cambria Math"/>
                </a:rPr>
                <a:t>=</a:t>
              </a:r>
              <a:endParaRPr lang="en-US" sz="1100" b="0">
                <a:solidFill>
                  <a:schemeClr val="tx1"/>
                </a:solidFill>
                <a:effectLst/>
                <a:latin typeface="+mn-lt"/>
                <a:ea typeface="Cambria Math" panose="02040503050406030204" pitchFamily="18" charset="0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2</xdr:col>
      <xdr:colOff>1962150</xdr:colOff>
      <xdr:row>25</xdr:row>
      <xdr:rowOff>361950</xdr:rowOff>
    </xdr:from>
    <xdr:ext cx="762000" cy="42383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TextBox 16"/>
            <xdr:cNvSpPr txBox="1"/>
          </xdr:nvSpPr>
          <xdr:spPr>
            <a:xfrm>
              <a:off x="3209925" y="6772275"/>
              <a:ext cx="762000" cy="4238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l-GR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λ</m:t>
                    </m:r>
                    <m:r>
                      <a:rPr lang="ru-RU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𝑙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𝑒𝑓</m:t>
                            </m:r>
                          </m:sub>
                        </m:sSub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𝑖</m:t>
                        </m:r>
                      </m:den>
                    </m:f>
                    <m:r>
                      <a:rPr lang="ru-RU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17" name="TextBox 16"/>
            <xdr:cNvSpPr txBox="1"/>
          </xdr:nvSpPr>
          <xdr:spPr>
            <a:xfrm>
              <a:off x="3209925" y="6772275"/>
              <a:ext cx="762000" cy="4238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l-GR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λ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𝑙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𝑒𝑓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𝑖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</a:t>
              </a:r>
              <a:endParaRPr lang="ru-RU" sz="1100"/>
            </a:p>
          </xdr:txBody>
        </xdr:sp>
      </mc:Fallback>
    </mc:AlternateContent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1390650</xdr:colOff>
      <xdr:row>4</xdr:row>
      <xdr:rowOff>16094</xdr:rowOff>
    </xdr:from>
    <xdr:ext cx="1135328" cy="45076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2553357" y="856922"/>
              <a:ext cx="1135328" cy="4507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ru-RU" sz="110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𝑀</m:t>
                        </m:r>
                      </m:num>
                      <m:den>
                        <m:sSub>
                          <m:sSubPr>
                            <m:ctrlP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𝑊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𝑥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,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𝑚𝑖𝑛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𝑅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𝛾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sub>
                        </m:sSub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≤1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2553357" y="856922"/>
              <a:ext cx="1135328" cy="4507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US" sz="1100" b="0" i="0">
                  <a:latin typeface="Cambria Math"/>
                  <a:ea typeface="Cambria Math"/>
                </a:rPr>
                <a:t>𝑀</a:t>
              </a:r>
              <a:r>
                <a:rPr lang="ru-RU" sz="1100" b="0" i="0">
                  <a:latin typeface="Cambria Math" panose="02040503050406030204" pitchFamily="18" charset="0"/>
                  <a:ea typeface="Cambria Math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𝑊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𝑥,𝑚𝑖𝑛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𝑅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𝛾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𝑐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≤1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1282263</xdr:colOff>
      <xdr:row>10</xdr:row>
      <xdr:rowOff>8868</xdr:rowOff>
    </xdr:from>
    <xdr:ext cx="1428749" cy="4000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/>
            </xdr:cNvPr>
            <xdr:cNvSpPr txBox="1"/>
          </xdr:nvSpPr>
          <xdr:spPr>
            <a:xfrm>
              <a:off x="2530038" y="2418693"/>
              <a:ext cx="1428749" cy="4000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𝑀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𝑚𝑎𝑥</m:t>
                        </m:r>
                      </m:sub>
                    </m:sSub>
                    <m:r>
                      <a:rPr lang="ru-RU" sz="1100" i="0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𝑤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∙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ср</m:t>
                            </m:r>
                          </m:sub>
                        </m:sSub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  <m:t>∙</m:t>
                        </m:r>
                        <m:sSup>
                          <m:sSupPr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/>
                          </a:rPr>
                          <m:t>8</m:t>
                        </m:r>
                      </m:den>
                    </m:f>
                    <m:r>
                      <a:rPr lang="ru-RU" sz="1100" b="0" i="1">
                        <a:latin typeface="Cambria Math"/>
                      </a:rPr>
                      <m:t>=</m:t>
                    </m:r>
                  </m:oMath>
                </m:oMathPara>
              </a14:m>
              <a:endParaRPr lang="en-US" sz="1100" b="0">
                <a:solidFill>
                  <a:schemeClr val="tx1"/>
                </a:solidFill>
                <a:effectLst/>
                <a:latin typeface="+mn-lt"/>
                <a:ea typeface="Cambria Math" panose="02040503050406030204" pitchFamily="18" charset="0"/>
                <a:cs typeface="+mn-cs"/>
              </a:endParaRPr>
            </a:p>
          </xdr:txBody>
        </xdr:sp>
      </mc:Choice>
      <mc:Fallback xmlns="">
        <xdr:sp macro="" textlink="">
          <xdr:nvSpPr>
            <xdr:cNvPr id="3" name="TextBox 2">
              <a:extLst/>
            </xdr:cNvPr>
            <xdr:cNvSpPr txBox="1"/>
          </xdr:nvSpPr>
          <xdr:spPr>
            <a:xfrm>
              <a:off x="2530038" y="2418693"/>
              <a:ext cx="1428749" cy="4000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𝑀_𝑚𝑎𝑥</a:t>
              </a:r>
              <a:r>
                <a:rPr lang="ru-RU" sz="1100" i="0">
                  <a:latin typeface="Cambria Math"/>
                </a:rPr>
                <a:t>=</a:t>
              </a:r>
              <a:r>
                <a:rPr lang="en-US" sz="1100" b="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𝑤∙𝑎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ср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𝐻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^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)/</a:t>
              </a:r>
              <a:r>
                <a:rPr lang="en-US" sz="1100" b="0" i="0">
                  <a:latin typeface="Cambria Math"/>
                </a:rPr>
                <a:t>8</a:t>
              </a:r>
              <a:r>
                <a:rPr lang="ru-RU" sz="1100" b="0" i="0">
                  <a:latin typeface="Cambria Math"/>
                </a:rPr>
                <a:t>=</a:t>
              </a:r>
              <a:endParaRPr lang="en-US" sz="1100" b="0">
                <a:solidFill>
                  <a:schemeClr val="tx1"/>
                </a:solidFill>
                <a:effectLst/>
                <a:latin typeface="+mn-lt"/>
                <a:ea typeface="Cambria Math" panose="02040503050406030204" pitchFamily="18" charset="0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2</xdr:col>
      <xdr:colOff>190500</xdr:colOff>
      <xdr:row>15</xdr:row>
      <xdr:rowOff>9525</xdr:rowOff>
    </xdr:from>
    <xdr:ext cx="2543175" cy="4762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/>
            </xdr:cNvPr>
            <xdr:cNvSpPr txBox="1"/>
          </xdr:nvSpPr>
          <xdr:spPr>
            <a:xfrm>
              <a:off x="1438275" y="3714750"/>
              <a:ext cx="2543175" cy="4762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𝑀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𝑚𝑎𝑥</m:t>
                        </m:r>
                      </m:sub>
                    </m:sSub>
                    <m:r>
                      <a:rPr lang="ru-RU" sz="1100" i="0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i="1">
                            <a:latin typeface="Cambria Math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ru-RU" sz="1100" i="1">
                                <a:latin typeface="Cambria Math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ru-RU" sz="1100" i="1">
                                    <a:latin typeface="Cambria Math"/>
                                  </a:rPr>
                                </m:ctrlPr>
                              </m:dPr>
                              <m:e>
                                <m:r>
                                  <a:rPr lang="en-US" sz="1100" b="0" i="1">
                                    <a:latin typeface="Cambria Math"/>
                                  </a:rPr>
                                  <m:t>𝑤</m:t>
                                </m:r>
                                <m:r>
                                  <a:rPr lang="en-US" sz="1100" b="0" i="1">
                                    <a:latin typeface="Cambria Math"/>
                                    <a:ea typeface="Cambria Math"/>
                                  </a:rPr>
                                  <m:t>∙</m:t>
                                </m:r>
                                <m:sSub>
                                  <m:sSubPr>
                                    <m:ctrlPr>
                                      <a:rPr lang="en-US" sz="1100" b="0" i="1">
                                        <a:latin typeface="Cambria Math"/>
                                        <a:ea typeface="Cambria Math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b="0" i="1">
                                        <a:latin typeface="Cambria Math"/>
                                        <a:ea typeface="Cambria Math"/>
                                      </a:rPr>
                                      <m:t>𝑎</m:t>
                                    </m:r>
                                  </m:e>
                                  <m:sub>
                                    <m:r>
                                      <a:rPr lang="ru-RU" sz="1100" b="0" i="1">
                                        <a:latin typeface="Cambria Math"/>
                                        <a:ea typeface="Cambria Math"/>
                                      </a:rPr>
                                      <m:t>ср</m:t>
                                    </m:r>
                                  </m:sub>
                                </m:sSub>
                                <m:r>
                                  <a:rPr lang="en-US" sz="1100" b="0" i="1">
                                    <a:latin typeface="Cambria Math"/>
                                    <a:ea typeface="Cambria Math"/>
                                  </a:rPr>
                                  <m:t>∙</m:t>
                                </m:r>
                                <m:sSup>
                                  <m:sSupPr>
                                    <m:ctrlPr>
                                      <a:rPr lang="en-US" sz="1100" b="0" i="1">
                                        <a:latin typeface="Cambria Math"/>
                                      </a:rPr>
                                    </m:ctrlPr>
                                  </m:sSupPr>
                                  <m:e>
                                    <m:r>
                                      <a:rPr lang="en-US" sz="1100" b="0" i="1">
                                        <a:latin typeface="Cambria Math"/>
                                      </a:rPr>
                                      <m:t>𝐻</m:t>
                                    </m:r>
                                  </m:e>
                                  <m:sup>
                                    <m:r>
                                      <a:rPr lang="en-US" sz="1100" b="0" i="1">
                                        <a:latin typeface="Cambria Math"/>
                                      </a:rPr>
                                      <m:t>2</m:t>
                                    </m:r>
                                  </m:sup>
                                </m:sSup>
                                <m:r>
                                  <a:rPr lang="en-US" sz="1100" b="0" i="1">
                                    <a:latin typeface="Cambria Math"/>
                                  </a:rPr>
                                  <m:t>+2</m:t>
                                </m:r>
                                <m:r>
                                  <a:rPr lang="en-US" sz="1100" b="0" i="1">
                                    <a:latin typeface="Cambria Math"/>
                                    <a:ea typeface="Cambria Math"/>
                                  </a:rPr>
                                  <m:t>∙</m:t>
                                </m:r>
                                <m:r>
                                  <a:rPr lang="en-US" sz="1100" b="0" i="1">
                                    <a:latin typeface="Cambria Math"/>
                                    <a:ea typeface="Cambria Math"/>
                                  </a:rPr>
                                  <m:t>𝑃</m:t>
                                </m:r>
                                <m:r>
                                  <a:rPr lang="en-US" sz="1100" b="0" i="1">
                                    <a:latin typeface="Cambria Math"/>
                                    <a:ea typeface="Cambria Math"/>
                                  </a:rPr>
                                  <m:t>∙</m:t>
                                </m:r>
                                <m:sSub>
                                  <m:sSubPr>
                                    <m:ctrlPr>
                                      <a:rPr lang="en-US" sz="1100" b="0" i="1">
                                        <a:latin typeface="Cambria Math"/>
                                        <a:ea typeface="Cambria Math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b="0" i="1">
                                        <a:latin typeface="Cambria Math"/>
                                        <a:ea typeface="Cambria Math"/>
                                      </a:rPr>
                                      <m:t>𝑎</m:t>
                                    </m:r>
                                  </m:e>
                                  <m:sub>
                                    <m:r>
                                      <a:rPr lang="ru-RU" sz="1100" b="0" i="1">
                                        <a:latin typeface="Cambria Math"/>
                                        <a:ea typeface="Cambria Math"/>
                                      </a:rPr>
                                      <m:t>ср</m:t>
                                    </m:r>
                                  </m:sub>
                                </m:sSub>
                                <m:r>
                                  <a:rPr lang="en-US" sz="1100" b="0" i="1">
                                    <a:latin typeface="Cambria Math"/>
                                    <a:ea typeface="Cambria Math"/>
                                  </a:rPr>
                                  <m:t>∙</m:t>
                                </m:r>
                                <m:r>
                                  <a:rPr lang="en-US" sz="1100" b="0" i="1">
                                    <a:latin typeface="Cambria Math"/>
                                    <a:ea typeface="Cambria Math"/>
                                  </a:rPr>
                                  <m:t>𝑏</m:t>
                                </m:r>
                              </m:e>
                            </m:d>
                          </m:e>
                          <m:sup>
                            <m:r>
                              <a:rPr lang="en-US" sz="1100" b="0" i="1">
                                <a:latin typeface="Cambria Math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ru-RU" sz="1100" b="0" i="1">
                            <a:latin typeface="Cambria Math"/>
                          </a:rPr>
                          <m:t>8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𝑤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∙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ср</m:t>
                            </m:r>
                          </m:sub>
                        </m:sSub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den>
                    </m:f>
                    <m:r>
                      <a:rPr lang="en-US" sz="1100" b="0" i="1">
                        <a:latin typeface="Cambria Math"/>
                      </a:rPr>
                      <m:t>=</m:t>
                    </m:r>
                  </m:oMath>
                </m:oMathPara>
              </a14:m>
              <a:endParaRPr lang="en-US" sz="1100" b="0">
                <a:solidFill>
                  <a:schemeClr val="tx1"/>
                </a:solidFill>
                <a:effectLst/>
                <a:latin typeface="+mn-lt"/>
                <a:ea typeface="Cambria Math" panose="02040503050406030204" pitchFamily="18" charset="0"/>
                <a:cs typeface="+mn-cs"/>
              </a:endParaRPr>
            </a:p>
          </xdr:txBody>
        </xdr:sp>
      </mc:Choice>
      <mc:Fallback xmlns="">
        <xdr:sp macro="" textlink="">
          <xdr:nvSpPr>
            <xdr:cNvPr id="4" name="TextBox 3">
              <a:extLst/>
            </xdr:cNvPr>
            <xdr:cNvSpPr txBox="1"/>
          </xdr:nvSpPr>
          <xdr:spPr>
            <a:xfrm>
              <a:off x="1438275" y="3714750"/>
              <a:ext cx="2543175" cy="4762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𝑀_𝑚𝑎𝑥</a:t>
              </a:r>
              <a:r>
                <a:rPr lang="ru-RU" sz="1100" i="0">
                  <a:latin typeface="Cambria Math"/>
                </a:rPr>
                <a:t>=</a:t>
              </a:r>
              <a:r>
                <a:rPr lang="ru-RU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/>
                </a:rPr>
                <a:t>𝑤</a:t>
              </a:r>
              <a:r>
                <a:rPr lang="en-US" sz="1100" b="0" i="0">
                  <a:latin typeface="Cambria Math"/>
                  <a:ea typeface="Cambria Math"/>
                </a:rPr>
                <a:t>∙𝑎</a:t>
              </a:r>
              <a:r>
                <a:rPr lang="en-US" sz="1100" b="0" i="0">
                  <a:latin typeface="Cambria Math" panose="02040503050406030204" pitchFamily="18" charset="0"/>
                  <a:ea typeface="Cambria Math"/>
                </a:rPr>
                <a:t>_</a:t>
              </a:r>
              <a:r>
                <a:rPr lang="ru-RU" sz="1100" b="0" i="0">
                  <a:latin typeface="Cambria Math"/>
                  <a:ea typeface="Cambria Math"/>
                </a:rPr>
                <a:t>ср</a:t>
              </a:r>
              <a:r>
                <a:rPr lang="en-US" sz="1100" b="0" i="0">
                  <a:latin typeface="Cambria Math"/>
                  <a:ea typeface="Cambria Math"/>
                </a:rPr>
                <a:t>∙</a:t>
              </a:r>
              <a:r>
                <a:rPr lang="en-US" sz="1100" b="0" i="0">
                  <a:latin typeface="Cambria Math"/>
                </a:rPr>
                <a:t>𝐻</a:t>
              </a:r>
              <a:r>
                <a:rPr lang="en-US" sz="1100" b="0" i="0">
                  <a:latin typeface="Cambria Math" panose="02040503050406030204" pitchFamily="18" charset="0"/>
                </a:rPr>
                <a:t>^</a:t>
              </a:r>
              <a:r>
                <a:rPr lang="en-US" sz="1100" b="0" i="0">
                  <a:latin typeface="Cambria Math"/>
                </a:rPr>
                <a:t>2+2</a:t>
              </a:r>
              <a:r>
                <a:rPr lang="en-US" sz="1100" b="0" i="0">
                  <a:latin typeface="Cambria Math"/>
                  <a:ea typeface="Cambria Math"/>
                </a:rPr>
                <a:t>∙𝑃∙𝑎</a:t>
              </a:r>
              <a:r>
                <a:rPr lang="en-US" sz="1100" b="0" i="0">
                  <a:latin typeface="Cambria Math" panose="02040503050406030204" pitchFamily="18" charset="0"/>
                  <a:ea typeface="Cambria Math"/>
                </a:rPr>
                <a:t>_</a:t>
              </a:r>
              <a:r>
                <a:rPr lang="ru-RU" sz="1100" b="0" i="0">
                  <a:latin typeface="Cambria Math"/>
                  <a:ea typeface="Cambria Math"/>
                </a:rPr>
                <a:t>ср</a:t>
              </a:r>
              <a:r>
                <a:rPr lang="en-US" sz="1100" b="0" i="0">
                  <a:latin typeface="Cambria Math"/>
                  <a:ea typeface="Cambria Math"/>
                </a:rPr>
                <a:t>∙𝑏</a:t>
              </a:r>
              <a:r>
                <a:rPr lang="en-US" sz="1100" b="0" i="0">
                  <a:latin typeface="Cambria Math" panose="02040503050406030204" pitchFamily="18" charset="0"/>
                  <a:ea typeface="Cambria Math"/>
                </a:rPr>
                <a:t>)</a:t>
              </a:r>
              <a:r>
                <a:rPr lang="ru-RU" sz="1100" b="0" i="0">
                  <a:latin typeface="Cambria Math" panose="02040503050406030204" pitchFamily="18" charset="0"/>
                  <a:ea typeface="Cambria Math"/>
                </a:rPr>
                <a:t>^</a:t>
              </a:r>
              <a:r>
                <a:rPr lang="en-US" sz="1100" b="0" i="0">
                  <a:latin typeface="Cambria Math"/>
                </a:rPr>
                <a:t>2</a:t>
              </a:r>
              <a:r>
                <a:rPr lang="ru-RU" sz="1100" b="0" i="0">
                  <a:latin typeface="Cambria Math" panose="02040503050406030204" pitchFamily="18" charset="0"/>
                </a:rPr>
                <a:t>/(</a:t>
              </a:r>
              <a:r>
                <a:rPr lang="ru-RU" sz="1100" b="0" i="0">
                  <a:latin typeface="Cambria Math"/>
                </a:rPr>
                <a:t>8</a:t>
              </a:r>
              <a:r>
                <a:rPr lang="ru-RU" sz="1100" b="0" i="0">
                  <a:latin typeface="Cambria Math"/>
                  <a:ea typeface="Cambria Math"/>
                </a:rPr>
                <a:t>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𝑤∙𝑎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ср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𝐻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^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2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100" b="0" i="0">
                  <a:latin typeface="Cambria Math"/>
                </a:rPr>
                <a:t>=</a:t>
              </a:r>
              <a:endParaRPr lang="en-US" sz="1100" b="0">
                <a:solidFill>
                  <a:schemeClr val="tx1"/>
                </a:solidFill>
                <a:effectLst/>
                <a:latin typeface="+mn-lt"/>
                <a:ea typeface="Cambria Math" panose="02040503050406030204" pitchFamily="18" charset="0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2</xdr:col>
      <xdr:colOff>1743075</xdr:colOff>
      <xdr:row>19</xdr:row>
      <xdr:rowOff>238125</xdr:rowOff>
    </xdr:from>
    <xdr:ext cx="1135328" cy="45076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/>
            <xdr:cNvSpPr txBox="1"/>
          </xdr:nvSpPr>
          <xdr:spPr>
            <a:xfrm>
              <a:off x="2990850" y="5038725"/>
              <a:ext cx="1135328" cy="4507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ru-RU" sz="110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𝑀</m:t>
                        </m:r>
                      </m:num>
                      <m:den>
                        <m:sSub>
                          <m:sSubPr>
                            <m:ctrlP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𝑊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𝑥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,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𝑚𝑖𝑛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𝑅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𝛾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sub>
                        </m:sSub>
                      </m:den>
                    </m:f>
                    <m:r>
                      <a:rPr lang="ru-RU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>
              <a:off x="2990850" y="5038725"/>
              <a:ext cx="1135328" cy="4507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US" sz="1100" b="0" i="0">
                  <a:latin typeface="Cambria Math"/>
                  <a:ea typeface="Cambria Math"/>
                </a:rPr>
                <a:t>𝑀</a:t>
              </a:r>
              <a:r>
                <a:rPr lang="ru-RU" sz="1100" b="0" i="0">
                  <a:latin typeface="Cambria Math" panose="02040503050406030204" pitchFamily="18" charset="0"/>
                  <a:ea typeface="Cambria Math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𝑊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𝑥,𝑚𝑖𝑛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𝑅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𝛾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𝑐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)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endParaRPr lang="ru-RU" sz="1100"/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30</xdr:row>
      <xdr:rowOff>4527</xdr:rowOff>
    </xdr:from>
    <xdr:to>
      <xdr:col>13</xdr:col>
      <xdr:colOff>764</xdr:colOff>
      <xdr:row>30</xdr:row>
      <xdr:rowOff>377504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"/>
        <a:stretch/>
      </xdr:blipFill>
      <xdr:spPr>
        <a:xfrm>
          <a:off x="0" y="7424502"/>
          <a:ext cx="10617777" cy="3729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1676400</xdr:colOff>
      <xdr:row>3</xdr:row>
      <xdr:rowOff>200025</xdr:rowOff>
    </xdr:from>
    <xdr:ext cx="1135328" cy="2771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2333625" y="647700"/>
              <a:ext cx="1135328" cy="2771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𝑓</m:t>
                        </m:r>
                      </m:e>
                      <m:sub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факт</m:t>
                        </m:r>
                      </m:sub>
                    </m:sSub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&lt;</m:t>
                    </m:r>
                    <m:d>
                      <m:dPr>
                        <m:begChr m:val="["/>
                        <m:endChr m:val="]"/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</m:ctrlPr>
                      </m:d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  <m:t>𝑓</m:t>
                        </m:r>
                      </m:e>
                    </m:d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2333625" y="647700"/>
              <a:ext cx="1135328" cy="2771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факт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&lt;[𝑓]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1095375</xdr:colOff>
      <xdr:row>6</xdr:row>
      <xdr:rowOff>0</xdr:rowOff>
    </xdr:from>
    <xdr:ext cx="1733549" cy="39958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/>
            <xdr:cNvSpPr txBox="1"/>
          </xdr:nvSpPr>
          <xdr:spPr>
            <a:xfrm>
              <a:off x="1752600" y="1143000"/>
              <a:ext cx="1733549" cy="3995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en-US" sz="1100" b="0" i="1">
                            <a:latin typeface="Cambria Math"/>
                          </a:rPr>
                          <m:t>𝑤</m:t>
                        </m:r>
                      </m:sub>
                    </m:sSub>
                    <m:r>
                      <a:rPr lang="ru-RU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/>
                          </a:rPr>
                          <m:t>384</m:t>
                        </m:r>
                      </m:den>
                    </m:f>
                    <m:r>
                      <a:rPr lang="ru-RU" sz="1100" b="0" i="1"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𝑤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p>
                          <m:sSup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𝐽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𝑥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ru-RU" sz="1100" i="1"/>
            </a:p>
          </xdr:txBody>
        </xdr:sp>
      </mc:Choice>
      <mc:Fallback xmlns="">
        <xdr:sp macro="" textlink="">
          <xdr:nvSpPr>
            <xdr:cNvPr id="6" name="TextBox 5"/>
            <xdr:cNvSpPr txBox="1"/>
          </xdr:nvSpPr>
          <xdr:spPr>
            <a:xfrm>
              <a:off x="1752600" y="1143000"/>
              <a:ext cx="1733549" cy="39958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latin typeface="Cambria Math"/>
                </a:rPr>
                <a:t>𝑓</a:t>
              </a:r>
              <a:r>
                <a:rPr lang="ru-RU" sz="1100" b="0" i="0">
                  <a:latin typeface="Cambria Math"/>
                </a:rPr>
                <a:t>_</a:t>
              </a:r>
              <a:r>
                <a:rPr lang="en-US" sz="1100" b="0" i="0">
                  <a:latin typeface="Cambria Math"/>
                </a:rPr>
                <a:t>𝑤</a:t>
              </a:r>
              <a:r>
                <a:rPr lang="ru-RU" sz="1100" b="0" i="0">
                  <a:latin typeface="Cambria Math"/>
                </a:rPr>
                <a:t>=</a:t>
              </a:r>
              <a:r>
                <a:rPr lang="en-US" sz="1100" b="0" i="0">
                  <a:latin typeface="Cambria Math"/>
                </a:rPr>
                <a:t>5</a:t>
              </a:r>
              <a:r>
                <a:rPr lang="ru-RU" sz="1100" b="0" i="0">
                  <a:latin typeface="Cambria Math"/>
                </a:rPr>
                <a:t>/</a:t>
              </a:r>
              <a:r>
                <a:rPr lang="en-US" sz="1100" b="0" i="0">
                  <a:latin typeface="Cambria Math"/>
                </a:rPr>
                <a:t>384</a:t>
              </a:r>
              <a:r>
                <a:rPr lang="ru-RU" sz="1100" b="0" i="0"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latin typeface="Cambria Math"/>
                  <a:ea typeface="Cambria Math"/>
                </a:rPr>
                <a:t>𝑤×𝑎</a:t>
              </a:r>
              <a:r>
                <a:rPr lang="ru-RU" sz="1100" b="0" i="0">
                  <a:latin typeface="Cambria Math"/>
                  <a:ea typeface="Cambria Math"/>
                </a:rPr>
                <a:t>_ср×</a:t>
              </a:r>
              <a:r>
                <a:rPr lang="en-US" sz="1100" b="0" i="0">
                  <a:latin typeface="Cambria Math"/>
                  <a:ea typeface="Cambria Math"/>
                </a:rPr>
                <a:t>𝐻</a:t>
              </a:r>
              <a:r>
                <a:rPr lang="ru-RU" sz="1100" b="0" i="0"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en-US" sz="1100" b="0" i="0">
                  <a:latin typeface="Cambria Math"/>
                  <a:ea typeface="Cambria Math"/>
                </a:rPr>
                <a:t>𝐽</a:t>
              </a:r>
              <a:r>
                <a:rPr lang="ru-RU" sz="1100" b="0" i="0">
                  <a:latin typeface="Cambria Math"/>
                  <a:ea typeface="Cambria Math"/>
                </a:rPr>
                <a:t>_</a:t>
              </a:r>
              <a:r>
                <a:rPr lang="en-US" sz="1100" b="0" i="0">
                  <a:latin typeface="Cambria Math"/>
                  <a:ea typeface="Cambria Math"/>
                </a:rPr>
                <a:t>𝑥 </a:t>
              </a:r>
              <a:r>
                <a:rPr lang="ru-RU" sz="1100" b="0" i="0">
                  <a:latin typeface="Cambria Math"/>
                  <a:ea typeface="Cambria Math"/>
                </a:rPr>
                <a:t>)</a:t>
              </a:r>
              <a:endParaRPr lang="ru-RU" sz="1100" i="1"/>
            </a:p>
          </xdr:txBody>
        </xdr:sp>
      </mc:Fallback>
    </mc:AlternateContent>
    <xdr:clientData/>
  </xdr:oneCellAnchor>
  <xdr:oneCellAnchor>
    <xdr:from>
      <xdr:col>2</xdr:col>
      <xdr:colOff>1126040</xdr:colOff>
      <xdr:row>7</xdr:row>
      <xdr:rowOff>0</xdr:rowOff>
    </xdr:from>
    <xdr:ext cx="1695451" cy="3714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/>
            <xdr:cNvSpPr txBox="1"/>
          </xdr:nvSpPr>
          <xdr:spPr>
            <a:xfrm>
              <a:off x="1783265" y="1533525"/>
              <a:ext cx="1695451" cy="3714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en-US" sz="1100" b="0" i="1">
                            <a:latin typeface="Cambria Math"/>
                          </a:rPr>
                          <m:t>𝑤</m:t>
                        </m:r>
                      </m:sub>
                    </m:sSub>
                    <m:r>
                      <a:rPr lang="ru-RU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ru-RU" sz="1100" b="0" i="1">
                            <a:latin typeface="Cambria Math"/>
                          </a:rPr>
                          <m:t>1</m:t>
                        </m:r>
                      </m:num>
                      <m:den>
                        <m:r>
                          <a:rPr lang="ru-RU" sz="1100" b="0" i="1">
                            <a:latin typeface="Cambria Math"/>
                          </a:rPr>
                          <m:t>185</m:t>
                        </m:r>
                      </m:den>
                    </m:f>
                    <m:r>
                      <a:rPr lang="ru-RU" sz="1100" b="0" i="1"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𝑤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p>
                          <m:sSup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𝐽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𝑥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ru-RU" sz="1100" i="1"/>
            </a:p>
          </xdr:txBody>
        </xdr:sp>
      </mc:Choice>
      <mc:Fallback xmlns="">
        <xdr:sp macro="" textlink="">
          <xdr:nvSpPr>
            <xdr:cNvPr id="7" name="TextBox 6"/>
            <xdr:cNvSpPr txBox="1"/>
          </xdr:nvSpPr>
          <xdr:spPr>
            <a:xfrm>
              <a:off x="1783265" y="1533525"/>
              <a:ext cx="1695451" cy="3714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latin typeface="Cambria Math"/>
                </a:rPr>
                <a:t>𝑓</a:t>
              </a:r>
              <a:r>
                <a:rPr lang="ru-RU" sz="1100" b="0" i="0">
                  <a:latin typeface="Cambria Math"/>
                </a:rPr>
                <a:t>_</a:t>
              </a:r>
              <a:r>
                <a:rPr lang="en-US" sz="1100" b="0" i="0">
                  <a:latin typeface="Cambria Math"/>
                </a:rPr>
                <a:t>𝑤</a:t>
              </a:r>
              <a:r>
                <a:rPr lang="ru-RU" sz="1100" b="0" i="0">
                  <a:latin typeface="Cambria Math"/>
                </a:rPr>
                <a:t>=1/185</a:t>
              </a:r>
              <a:r>
                <a:rPr lang="ru-RU" sz="1100" b="0" i="0"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latin typeface="Cambria Math"/>
                  <a:ea typeface="Cambria Math"/>
                </a:rPr>
                <a:t>𝑤×𝑎</a:t>
              </a:r>
              <a:r>
                <a:rPr lang="ru-RU" sz="1100" b="0" i="0">
                  <a:latin typeface="Cambria Math"/>
                  <a:ea typeface="Cambria Math"/>
                </a:rPr>
                <a:t>_ср×</a:t>
              </a:r>
              <a:r>
                <a:rPr lang="en-US" sz="1100" b="0" i="0">
                  <a:latin typeface="Cambria Math"/>
                  <a:ea typeface="Cambria Math"/>
                </a:rPr>
                <a:t>𝐻</a:t>
              </a:r>
              <a:r>
                <a:rPr lang="ru-RU" sz="1100" b="0" i="0"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en-US" sz="1100" b="0" i="0">
                  <a:latin typeface="Cambria Math"/>
                  <a:ea typeface="Cambria Math"/>
                </a:rPr>
                <a:t>𝐽</a:t>
              </a:r>
              <a:r>
                <a:rPr lang="ru-RU" sz="1100" b="0" i="0">
                  <a:latin typeface="Cambria Math"/>
                  <a:ea typeface="Cambria Math"/>
                </a:rPr>
                <a:t>_</a:t>
              </a:r>
              <a:r>
                <a:rPr lang="en-US" sz="1100" b="0" i="0">
                  <a:latin typeface="Cambria Math"/>
                  <a:ea typeface="Cambria Math"/>
                </a:rPr>
                <a:t>𝑥 </a:t>
              </a:r>
              <a:r>
                <a:rPr lang="ru-RU" sz="1100" b="0" i="0">
                  <a:latin typeface="Cambria Math"/>
                  <a:ea typeface="Cambria Math"/>
                </a:rPr>
                <a:t>)</a:t>
              </a:r>
              <a:endParaRPr lang="ru-RU" sz="1100" i="1"/>
            </a:p>
          </xdr:txBody>
        </xdr:sp>
      </mc:Fallback>
    </mc:AlternateContent>
    <xdr:clientData/>
  </xdr:oneCellAnchor>
  <xdr:oneCellAnchor>
    <xdr:from>
      <xdr:col>2</xdr:col>
      <xdr:colOff>390526</xdr:colOff>
      <xdr:row>8</xdr:row>
      <xdr:rowOff>9526</xdr:rowOff>
    </xdr:from>
    <xdr:ext cx="2419350" cy="38099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/>
            <xdr:cNvSpPr txBox="1"/>
          </xdr:nvSpPr>
          <xdr:spPr>
            <a:xfrm>
              <a:off x="1047751" y="1924051"/>
              <a:ext cx="2419350" cy="38099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en-US" sz="1100" b="0" i="1">
                            <a:latin typeface="Cambria Math"/>
                          </a:rPr>
                          <m:t>𝑝</m:t>
                        </m:r>
                      </m:sub>
                    </m:sSub>
                    <m:r>
                      <a:rPr lang="ru-RU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ru-RU" sz="1100" b="0" i="1">
                            <a:latin typeface="Cambria Math"/>
                          </a:rPr>
                          <m:t>1</m:t>
                        </m:r>
                      </m:num>
                      <m:den>
                        <m:r>
                          <a:rPr lang="ru-RU" sz="1100" b="0" i="1">
                            <a:latin typeface="Cambria Math"/>
                          </a:rPr>
                          <m:t>48</m:t>
                        </m:r>
                      </m:den>
                    </m:f>
                    <m:r>
                      <a:rPr lang="ru-RU" sz="1100" b="0" i="1"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𝑃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∙</m:t>
                        </m:r>
                        <m:sSub>
                          <m:sSubPr>
                            <m:ctrlPr>
                              <a:rPr lang="en-US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∙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𝑏</m:t>
                        </m:r>
                      </m:num>
                      <m:den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𝐽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𝑥</m:t>
                            </m:r>
                          </m:sub>
                        </m:sSub>
                      </m:den>
                    </m:f>
                    <m:r>
                      <a:rPr lang="en-US" sz="1100" b="0" i="1">
                        <a:latin typeface="Cambria Math"/>
                        <a:ea typeface="Cambria Math"/>
                      </a:rPr>
                      <m:t>∙</m:t>
                    </m:r>
                    <m:d>
                      <m:dPr>
                        <m:ctrlPr>
                          <a:rPr lang="en-US" sz="1100" b="0" i="1">
                            <a:latin typeface="Cambria Math"/>
                            <a:ea typeface="Cambria Math"/>
                          </a:rPr>
                        </m:ctrlPr>
                      </m:dPr>
                      <m:e>
                        <m:sSup>
                          <m:sSupPr>
                            <m:ctrlPr>
                              <a:rPr lang="en-US" sz="1100" b="0" i="1"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3∙</m:t>
                            </m:r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−4∙</m:t>
                        </m:r>
                        <m:sSup>
                          <m:sSupPr>
                            <m:ctrlPr>
                              <a:rPr lang="en-US" sz="1100" b="0" i="1"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𝑏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2</m:t>
                            </m:r>
                          </m:sup>
                        </m:sSup>
                      </m:e>
                    </m:d>
                  </m:oMath>
                </m:oMathPara>
              </a14:m>
              <a:endParaRPr lang="ru-RU" sz="1100" i="1"/>
            </a:p>
          </xdr:txBody>
        </xdr:sp>
      </mc:Choice>
      <mc:Fallback xmlns="">
        <xdr:sp macro="" textlink="">
          <xdr:nvSpPr>
            <xdr:cNvPr id="8" name="TextBox 7"/>
            <xdr:cNvSpPr txBox="1"/>
          </xdr:nvSpPr>
          <xdr:spPr>
            <a:xfrm>
              <a:off x="1047751" y="1924051"/>
              <a:ext cx="2419350" cy="38099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latin typeface="Cambria Math"/>
                </a:rPr>
                <a:t>𝑓</a:t>
              </a:r>
              <a:r>
                <a:rPr lang="ru-RU" sz="1100" b="0" i="0">
                  <a:latin typeface="Cambria Math"/>
                </a:rPr>
                <a:t>_</a:t>
              </a:r>
              <a:r>
                <a:rPr lang="en-US" sz="1100" b="0" i="0">
                  <a:latin typeface="Cambria Math"/>
                </a:rPr>
                <a:t>𝑝</a:t>
              </a:r>
              <a:r>
                <a:rPr lang="ru-RU" sz="1100" b="0" i="0">
                  <a:latin typeface="Cambria Math"/>
                </a:rPr>
                <a:t>=1/48</a:t>
              </a:r>
              <a:r>
                <a:rPr lang="ru-RU" sz="1100" b="0" i="0"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latin typeface="Cambria Math"/>
                  <a:ea typeface="Cambria Math"/>
                </a:rPr>
                <a:t>𝑃∙𝑎_</a:t>
              </a:r>
              <a:r>
                <a:rPr lang="ru-RU" sz="1100" b="0" i="0">
                  <a:latin typeface="Cambria Math"/>
                  <a:ea typeface="Cambria Math"/>
                </a:rPr>
                <a:t>ср</a:t>
              </a:r>
              <a:r>
                <a:rPr lang="en-US" sz="1100" b="0" i="0">
                  <a:latin typeface="Cambria Math"/>
                  <a:ea typeface="Cambria Math"/>
                </a:rPr>
                <a:t>∙𝑏</a:t>
              </a:r>
              <a:r>
                <a:rPr lang="ru-RU" sz="1100" b="0" i="0"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en-US" sz="1100" b="0" i="0">
                  <a:latin typeface="Cambria Math"/>
                  <a:ea typeface="Cambria Math"/>
                </a:rPr>
                <a:t>𝐽</a:t>
              </a:r>
              <a:r>
                <a:rPr lang="ru-RU" sz="1100" b="0" i="0">
                  <a:latin typeface="Cambria Math"/>
                  <a:ea typeface="Cambria Math"/>
                </a:rPr>
                <a:t>_</a:t>
              </a:r>
              <a:r>
                <a:rPr lang="en-US" sz="1100" b="0" i="0">
                  <a:latin typeface="Cambria Math"/>
                  <a:ea typeface="Cambria Math"/>
                </a:rPr>
                <a:t>𝑥 </a:t>
              </a:r>
              <a:r>
                <a:rPr lang="ru-RU" sz="1100" b="0" i="0">
                  <a:latin typeface="Cambria Math"/>
                  <a:ea typeface="Cambria Math"/>
                </a:rPr>
                <a:t>)</a:t>
              </a:r>
              <a:r>
                <a:rPr lang="en-US" sz="1100" b="0" i="0">
                  <a:latin typeface="Cambria Math"/>
                  <a:ea typeface="Cambria Math"/>
                </a:rPr>
                <a:t>∙(〖3∙𝐻〗^2−4∙𝑏^2 )</a:t>
              </a:r>
              <a:endParaRPr lang="ru-RU" sz="1100" i="1"/>
            </a:p>
          </xdr:txBody>
        </xdr:sp>
      </mc:Fallback>
    </mc:AlternateContent>
    <xdr:clientData/>
  </xdr:oneCellAnchor>
  <xdr:oneCellAnchor>
    <xdr:from>
      <xdr:col>2</xdr:col>
      <xdr:colOff>819154</xdr:colOff>
      <xdr:row>9</xdr:row>
      <xdr:rowOff>9525</xdr:rowOff>
    </xdr:from>
    <xdr:ext cx="1990722" cy="3810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/>
            <xdr:cNvSpPr txBox="1"/>
          </xdr:nvSpPr>
          <xdr:spPr>
            <a:xfrm>
              <a:off x="1476379" y="2314575"/>
              <a:ext cx="1990722" cy="3810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en-US" sz="1100" b="0" i="1">
                            <a:latin typeface="Cambria Math"/>
                          </a:rPr>
                          <m:t>𝑝</m:t>
                        </m:r>
                      </m:sub>
                    </m:sSub>
                    <m:r>
                      <a:rPr lang="ru-RU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𝑃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∙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∙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𝑏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∙(3</m:t>
                        </m:r>
                        <m:sSup>
                          <m:sSupPr>
                            <m:ctrlPr>
                              <a:rPr lang="en-US" sz="1100" b="0" i="1"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−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5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𝑏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)</m:t>
                        </m:r>
                      </m:num>
                      <m:den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96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∙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𝐽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𝑥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ru-RU" sz="1100" i="1"/>
            </a:p>
          </xdr:txBody>
        </xdr:sp>
      </mc:Choice>
      <mc:Fallback xmlns="">
        <xdr:sp macro="" textlink="">
          <xdr:nvSpPr>
            <xdr:cNvPr id="9" name="TextBox 8"/>
            <xdr:cNvSpPr txBox="1"/>
          </xdr:nvSpPr>
          <xdr:spPr>
            <a:xfrm>
              <a:off x="1476379" y="2314575"/>
              <a:ext cx="1990722" cy="3810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latin typeface="Cambria Math"/>
                </a:rPr>
                <a:t>𝑓</a:t>
              </a:r>
              <a:r>
                <a:rPr lang="ru-RU" sz="1100" b="0" i="0">
                  <a:latin typeface="Cambria Math"/>
                </a:rPr>
                <a:t>_</a:t>
              </a:r>
              <a:r>
                <a:rPr lang="en-US" sz="1100" b="0" i="0">
                  <a:latin typeface="Cambria Math"/>
                </a:rPr>
                <a:t>𝑝</a:t>
              </a:r>
              <a:r>
                <a:rPr lang="ru-RU" sz="1100" b="0" i="0">
                  <a:latin typeface="Cambria Math"/>
                </a:rPr>
                <a:t>=</a:t>
              </a:r>
              <a:r>
                <a:rPr lang="ru-RU" sz="1100" b="0" i="0">
                  <a:latin typeface="Cambria Math"/>
                  <a:ea typeface="Cambria Math"/>
                </a:rPr>
                <a:t>(</a:t>
              </a:r>
              <a:r>
                <a:rPr lang="en-US" sz="1100" b="0" i="0">
                  <a:latin typeface="Cambria Math"/>
                  <a:ea typeface="Cambria Math"/>
                </a:rPr>
                <a:t>𝑃∙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𝑎_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ср</a:t>
              </a:r>
              <a:r>
                <a:rPr lang="en-US" sz="1100" b="0" i="0">
                  <a:latin typeface="Cambria Math"/>
                  <a:ea typeface="Cambria Math"/>
                </a:rPr>
                <a:t>∙𝑏∙(3𝐻^2−</a:t>
              </a:r>
              <a:r>
                <a:rPr lang="ru-RU" sz="1100" b="0" i="0">
                  <a:latin typeface="Cambria Math"/>
                  <a:ea typeface="Cambria Math"/>
                </a:rPr>
                <a:t>5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𝑏^2</a:t>
              </a:r>
              <a:r>
                <a:rPr lang="en-US" sz="1100" b="0" i="0">
                  <a:latin typeface="Cambria Math"/>
                  <a:ea typeface="Cambria Math"/>
                </a:rPr>
                <a:t>)</a:t>
              </a:r>
              <a:r>
                <a:rPr lang="ru-RU" sz="1100" b="0" i="0">
                  <a:latin typeface="Cambria Math"/>
                  <a:ea typeface="Cambria Math"/>
                </a:rPr>
                <a:t>)/(96</a:t>
              </a:r>
              <a:r>
                <a:rPr lang="en-US" sz="1100" b="0" i="0">
                  <a:latin typeface="Cambria Math"/>
                  <a:ea typeface="Cambria Math"/>
                </a:rPr>
                <a:t>∙𝐸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en-US" sz="1100" b="0" i="0">
                  <a:latin typeface="Cambria Math"/>
                  <a:ea typeface="Cambria Math"/>
                </a:rPr>
                <a:t>𝐽</a:t>
              </a:r>
              <a:r>
                <a:rPr lang="ru-RU" sz="1100" b="0" i="0">
                  <a:latin typeface="Cambria Math"/>
                  <a:ea typeface="Cambria Math"/>
                </a:rPr>
                <a:t>_</a:t>
              </a:r>
              <a:r>
                <a:rPr lang="en-US" sz="1100" b="0" i="0">
                  <a:latin typeface="Cambria Math"/>
                  <a:ea typeface="Cambria Math"/>
                </a:rPr>
                <a:t>𝑥 </a:t>
              </a:r>
              <a:r>
                <a:rPr lang="ru-RU" sz="1100" b="0" i="0">
                  <a:latin typeface="Cambria Math"/>
                  <a:ea typeface="Cambria Math"/>
                </a:rPr>
                <a:t>)</a:t>
              </a:r>
              <a:endParaRPr lang="ru-RU" sz="1100" i="1"/>
            </a:p>
          </xdr:txBody>
        </xdr:sp>
      </mc:Fallback>
    </mc:AlternateContent>
    <xdr:clientData/>
  </xdr:oneCellAnchor>
  <xdr:oneCellAnchor>
    <xdr:from>
      <xdr:col>1</xdr:col>
      <xdr:colOff>657224</xdr:colOff>
      <xdr:row>18</xdr:row>
      <xdr:rowOff>196957</xdr:rowOff>
    </xdr:from>
    <xdr:ext cx="4010026" cy="4003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/>
            <xdr:cNvSpPr txBox="1"/>
          </xdr:nvSpPr>
          <xdr:spPr>
            <a:xfrm>
              <a:off x="1380478" y="4852906"/>
              <a:ext cx="4010026" cy="4003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𝐽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𝑥</m:t>
                        </m:r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,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𝑚𝑖𝑛</m:t>
                        </m:r>
                      </m:sub>
                    </m:sSub>
                    <m:r>
                      <a:rPr lang="ru-RU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/>
                          </a:rPr>
                          <m:t>384</m:t>
                        </m:r>
                      </m:den>
                    </m:f>
                    <m:r>
                      <a:rPr lang="ru-RU" sz="1100" b="0" i="1"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𝑤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p>
                          <m:sSup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𝑓</m:t>
                            </m:r>
                          </m:e>
                        </m:d>
                      </m:den>
                    </m:f>
                    <m:r>
                      <a:rPr lang="ru-RU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+</m:t>
                    </m:r>
                    <m:f>
                      <m:f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1</m:t>
                        </m:r>
                      </m:num>
                      <m:den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48</m:t>
                        </m:r>
                      </m:den>
                    </m:f>
                    <m:r>
                      <a:rPr lang="ru-RU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∙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𝑏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𝐸</m:t>
                        </m:r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𝑓</m:t>
                            </m:r>
                          </m:e>
                        </m:d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∙</m:t>
                    </m:r>
                    <m:d>
                      <m:d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dPr>
                      <m:e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3∙</m:t>
                            </m:r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−4∙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𝑏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e>
                    </m:d>
                  </m:oMath>
                </m:oMathPara>
              </a14:m>
              <a:endParaRPr lang="ru-RU" sz="1100" i="1"/>
            </a:p>
          </xdr:txBody>
        </xdr:sp>
      </mc:Choice>
      <mc:Fallback xmlns="">
        <xdr:sp macro="" textlink="">
          <xdr:nvSpPr>
            <xdr:cNvPr id="11" name="TextBox 10"/>
            <xdr:cNvSpPr txBox="1"/>
          </xdr:nvSpPr>
          <xdr:spPr>
            <a:xfrm>
              <a:off x="1380478" y="4852906"/>
              <a:ext cx="4010026" cy="4003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𝐽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,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𝑚𝑖𝑛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ru-RU" sz="1100" b="0" i="0">
                  <a:latin typeface="Cambria Math"/>
                </a:rPr>
                <a:t>=</a:t>
              </a:r>
              <a:r>
                <a:rPr lang="en-US" sz="1100" b="0" i="0">
                  <a:latin typeface="Cambria Math"/>
                </a:rPr>
                <a:t>5</a:t>
              </a:r>
              <a:r>
                <a:rPr lang="ru-RU" sz="1100" b="0" i="0">
                  <a:latin typeface="Cambria Math"/>
                </a:rPr>
                <a:t>/</a:t>
              </a:r>
              <a:r>
                <a:rPr lang="en-US" sz="1100" b="0" i="0">
                  <a:latin typeface="Cambria Math"/>
                </a:rPr>
                <a:t>384</a:t>
              </a:r>
              <a:r>
                <a:rPr lang="ru-RU" sz="1100" b="0" i="0"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latin typeface="Cambria Math"/>
                  <a:ea typeface="Cambria Math"/>
                </a:rPr>
                <a:t>𝑤×𝑎</a:t>
              </a:r>
              <a:r>
                <a:rPr lang="ru-RU" sz="1100" b="0" i="0">
                  <a:latin typeface="Cambria Math"/>
                  <a:ea typeface="Cambria Math"/>
                </a:rPr>
                <a:t>_ср×</a:t>
              </a:r>
              <a:r>
                <a:rPr lang="en-US" sz="1100" b="0" i="0">
                  <a:latin typeface="Cambria Math"/>
                  <a:ea typeface="Cambria Math"/>
                </a:rPr>
                <a:t>𝐻</a:t>
              </a:r>
              <a:r>
                <a:rPr lang="ru-RU" sz="1100" b="0" i="0"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𝑓]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)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+1/48×(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𝑃∙𝑎_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ср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∙𝑏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𝐸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×[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𝑓]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∙(〖3∙𝐻〗^2−4∙𝑏^2 )</a:t>
              </a:r>
              <a:endParaRPr lang="ru-RU" sz="1100" i="1"/>
            </a:p>
          </xdr:txBody>
        </xdr:sp>
      </mc:Fallback>
    </mc:AlternateContent>
    <xdr:clientData/>
  </xdr:oneCellAnchor>
  <xdr:oneCellAnchor>
    <xdr:from>
      <xdr:col>2</xdr:col>
      <xdr:colOff>4</xdr:colOff>
      <xdr:row>19</xdr:row>
      <xdr:rowOff>374570</xdr:rowOff>
    </xdr:from>
    <xdr:ext cx="3495671" cy="38742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/>
            <xdr:cNvSpPr txBox="1"/>
          </xdr:nvSpPr>
          <xdr:spPr>
            <a:xfrm>
              <a:off x="1381936" y="5240392"/>
              <a:ext cx="3495671" cy="38742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𝐽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𝑥</m:t>
                        </m:r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,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𝑚𝑖𝑛</m:t>
                        </m:r>
                      </m:sub>
                    </m:sSub>
                    <m:r>
                      <a:rPr lang="ru-RU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ru-RU" sz="1100" b="0" i="1">
                            <a:latin typeface="Cambria Math"/>
                          </a:rPr>
                          <m:t>1</m:t>
                        </m:r>
                      </m:num>
                      <m:den>
                        <m:r>
                          <a:rPr lang="ru-RU" sz="1100" b="0" i="1">
                            <a:latin typeface="Cambria Math"/>
                          </a:rPr>
                          <m:t>185</m:t>
                        </m:r>
                      </m:den>
                    </m:f>
                    <m:r>
                      <a:rPr lang="ru-RU" sz="1100" b="0" i="1"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𝑤</m:t>
                        </m:r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p>
                          <m:sSup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𝑓</m:t>
                            </m:r>
                          </m:e>
                        </m:d>
                      </m:den>
                    </m:f>
                    <m:r>
                      <a:rPr lang="ru-RU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+</m:t>
                    </m:r>
                    <m:f>
                      <m:f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∙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𝑏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∙(5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𝑏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3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𝐻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)</m:t>
                        </m:r>
                      </m:num>
                      <m:den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96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𝐸</m:t>
                        </m:r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𝑓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ru-RU" sz="1100" i="1"/>
            </a:p>
          </xdr:txBody>
        </xdr:sp>
      </mc:Choice>
      <mc:Fallback xmlns="">
        <xdr:sp macro="" textlink="">
          <xdr:nvSpPr>
            <xdr:cNvPr id="12" name="TextBox 11"/>
            <xdr:cNvSpPr txBox="1"/>
          </xdr:nvSpPr>
          <xdr:spPr>
            <a:xfrm>
              <a:off x="1381936" y="5240392"/>
              <a:ext cx="3495671" cy="38742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𝐽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,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𝑚𝑖𝑛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ru-RU" sz="1100" b="0" i="0">
                  <a:latin typeface="Cambria Math"/>
                </a:rPr>
                <a:t>=1/185</a:t>
              </a:r>
              <a:r>
                <a:rPr lang="ru-RU" sz="1100" b="0" i="0"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latin typeface="Cambria Math"/>
                  <a:ea typeface="Cambria Math"/>
                </a:rPr>
                <a:t>𝑤×𝑎</a:t>
              </a:r>
              <a:r>
                <a:rPr lang="ru-RU" sz="1100" b="0" i="0">
                  <a:latin typeface="Cambria Math"/>
                  <a:ea typeface="Cambria Math"/>
                </a:rPr>
                <a:t>_ср×</a:t>
              </a:r>
              <a:r>
                <a:rPr lang="en-US" sz="1100" b="0" i="0">
                  <a:latin typeface="Cambria Math"/>
                  <a:ea typeface="Cambria Math"/>
                </a:rPr>
                <a:t>𝐻</a:t>
              </a:r>
              <a:r>
                <a:rPr lang="ru-RU" sz="1100" b="0" i="0"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latin typeface="Cambria Math"/>
                  <a:ea typeface="Cambria Math"/>
                </a:rPr>
                <a:t>×[</a:t>
              </a:r>
              <a:r>
                <a:rPr lang="en-US" sz="1100" b="0" i="0">
                  <a:latin typeface="Cambria Math"/>
                  <a:ea typeface="Cambria Math"/>
                </a:rPr>
                <a:t>𝑓] </a:t>
              </a:r>
              <a:r>
                <a:rPr lang="ru-RU" sz="1100" b="0" i="0">
                  <a:latin typeface="Cambria Math"/>
                  <a:ea typeface="Cambria Math"/>
                </a:rPr>
                <a:t>)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+(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𝑃∙𝑎_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ср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∙𝑏∙(5𝑏^2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3𝐻^2)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)/(96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∙𝐸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×[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𝑓]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endParaRPr lang="ru-RU" sz="1100" i="1"/>
            </a:p>
          </xdr:txBody>
        </xdr:sp>
      </mc:Fallback>
    </mc:AlternateContent>
    <xdr:clientData/>
  </xdr:oneCellAnchor>
  <xdr:twoCellAnchor editAs="oneCell">
    <xdr:from>
      <xdr:col>0</xdr:col>
      <xdr:colOff>2</xdr:colOff>
      <xdr:row>27</xdr:row>
      <xdr:rowOff>356931</xdr:rowOff>
    </xdr:from>
    <xdr:to>
      <xdr:col>13</xdr:col>
      <xdr:colOff>167055</xdr:colOff>
      <xdr:row>28</xdr:row>
      <xdr:rowOff>379308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"/>
        <a:stretch/>
      </xdr:blipFill>
      <xdr:spPr>
        <a:xfrm>
          <a:off x="2" y="7417154"/>
          <a:ext cx="10632830" cy="39458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1002725</xdr:colOff>
      <xdr:row>4</xdr:row>
      <xdr:rowOff>16390</xdr:rowOff>
    </xdr:from>
    <xdr:ext cx="1746926" cy="40937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2245116" y="1051716"/>
              <a:ext cx="1746926" cy="4093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b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ru-RU" sz="110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𝑀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𝑥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𝐼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𝑥𝑛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𝑅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𝛾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sub>
                        </m:sSub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𝑦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±</m:t>
                    </m:r>
                    <m:f>
                      <m:f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𝑀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𝐼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𝑦𝑛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𝑅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𝛾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sub>
                        </m:sSub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𝑥</m:t>
                    </m:r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≤1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2245116" y="1051716"/>
              <a:ext cx="1746926" cy="4093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b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𝑀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𝐼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𝑥𝑛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𝑅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𝛾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𝑐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𝑦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±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𝑀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𝐼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𝑦𝑛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𝑅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𝛾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𝑐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 𝑥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≤1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1283849</xdr:colOff>
      <xdr:row>8</xdr:row>
      <xdr:rowOff>0</xdr:rowOff>
    </xdr:from>
    <xdr:ext cx="1476375" cy="35312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1938983" y="1663390"/>
              <a:ext cx="1476375" cy="3531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𝑀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𝑥</m:t>
                        </m:r>
                      </m:sub>
                    </m:sSub>
                    <m:r>
                      <a:rPr lang="en-US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</a:rPr>
                          <m:t>𝑤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/>
                          </a:rPr>
                          <m:t>8</m:t>
                        </m:r>
                      </m:den>
                    </m:f>
                    <m:r>
                      <a:rPr lang="en-US" sz="1100" b="0" i="1">
                        <a:latin typeface="Cambria Math"/>
                        <a:ea typeface="Cambria Math"/>
                      </a:rPr>
                      <m:t>=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1938983" y="1663390"/>
              <a:ext cx="1476375" cy="3531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𝑀_𝑥</a:t>
              </a:r>
              <a:r>
                <a:rPr lang="en-US" sz="1100" b="0" i="0">
                  <a:latin typeface="Cambria Math"/>
                </a:rPr>
                <a:t>=(𝑤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×𝑎_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ср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×𝐵^2)/</a:t>
              </a:r>
              <a:r>
                <a:rPr lang="en-US" sz="1100" b="0" i="0">
                  <a:latin typeface="Cambria Math"/>
                </a:rPr>
                <a:t>8</a:t>
              </a:r>
              <a:r>
                <a:rPr lang="en-US" sz="1100" b="0" i="0">
                  <a:latin typeface="Cambria Math"/>
                  <a:ea typeface="Cambria Math"/>
                </a:rPr>
                <a:t>=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900619</xdr:colOff>
      <xdr:row>13</xdr:row>
      <xdr:rowOff>1</xdr:rowOff>
    </xdr:from>
    <xdr:ext cx="1843392" cy="36884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/>
            <xdr:cNvSpPr txBox="1"/>
          </xdr:nvSpPr>
          <xdr:spPr>
            <a:xfrm>
              <a:off x="1557236" y="2922352"/>
              <a:ext cx="1843392" cy="3688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b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𝑀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𝑥</m:t>
                        </m:r>
                      </m:sub>
                    </m:sSub>
                    <m:r>
                      <a:rPr lang="en-US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</a:rPr>
                          <m:t>(</m:t>
                        </m:r>
                        <m:r>
                          <a:rPr lang="en-US" sz="1100" b="0" i="1">
                            <a:latin typeface="Cambria Math"/>
                          </a:rPr>
                          <m:t>𝑤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ср</m:t>
                            </m:r>
                          </m:sub>
                        </m:sSub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+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)×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/>
                          </a:rPr>
                          <m:t>8</m:t>
                        </m:r>
                      </m:den>
                    </m:f>
                    <m:r>
                      <a:rPr lang="en-US" sz="1100" b="0" i="1">
                        <a:latin typeface="Cambria Math"/>
                        <a:ea typeface="Cambria Math"/>
                      </a:rPr>
                      <m:t>=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1557236" y="2922352"/>
              <a:ext cx="1843392" cy="36884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b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𝑀_𝑥</a:t>
              </a:r>
              <a:r>
                <a:rPr lang="en-US" sz="1100" b="0" i="0">
                  <a:latin typeface="Cambria Math"/>
                </a:rPr>
                <a:t>=((𝑤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×𝑎_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ср+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𝑃)×𝐵^2)/</a:t>
              </a:r>
              <a:r>
                <a:rPr lang="en-US" sz="1100" b="0" i="0">
                  <a:latin typeface="Cambria Math"/>
                </a:rPr>
                <a:t>8</a:t>
              </a:r>
              <a:r>
                <a:rPr lang="en-US" sz="1100" b="0" i="0">
                  <a:latin typeface="Cambria Math"/>
                  <a:ea typeface="Cambria Math"/>
                </a:rPr>
                <a:t>=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1762125</xdr:colOff>
      <xdr:row>21</xdr:row>
      <xdr:rowOff>190500</xdr:rowOff>
    </xdr:from>
    <xdr:ext cx="916700" cy="24391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/>
            <xdr:cNvSpPr txBox="1"/>
          </xdr:nvSpPr>
          <xdr:spPr>
            <a:xfrm>
              <a:off x="2419350" y="5619750"/>
              <a:ext cx="916700" cy="2439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𝑀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𝑦</m:t>
                        </m:r>
                      </m:sub>
                    </m:sSub>
                    <m:r>
                      <a:rPr lang="en-US" sz="1100" b="0" i="1">
                        <a:latin typeface="Cambria Math"/>
                      </a:rPr>
                      <m:t>=</m:t>
                    </m:r>
                    <m:r>
                      <a:rPr lang="en-US" sz="1100" b="0" i="1">
                        <a:latin typeface="Cambria Math"/>
                      </a:rPr>
                      <m:t>𝑄𝑐</m:t>
                    </m:r>
                    <m:r>
                      <a:rPr lang="ru-RU" sz="1100" b="0" i="1">
                        <a:latin typeface="Cambria Math"/>
                      </a:rPr>
                      <m:t>=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7" name="TextBox 6"/>
            <xdr:cNvSpPr txBox="1"/>
          </xdr:nvSpPr>
          <xdr:spPr>
            <a:xfrm>
              <a:off x="2419350" y="5619750"/>
              <a:ext cx="916700" cy="2439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𝑀_𝑦</a:t>
              </a:r>
              <a:r>
                <a:rPr lang="en-US" sz="1100" b="0" i="0">
                  <a:latin typeface="Cambria Math"/>
                </a:rPr>
                <a:t>=𝑄𝑐</a:t>
              </a:r>
              <a:r>
                <a:rPr lang="ru-RU" sz="1100" b="0" i="0">
                  <a:latin typeface="Cambria Math"/>
                </a:rPr>
                <a:t>=</a:t>
              </a:r>
              <a:endParaRPr lang="ru-RU" sz="1100"/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29</xdr:row>
      <xdr:rowOff>566675</xdr:rowOff>
    </xdr:from>
    <xdr:to>
      <xdr:col>12</xdr:col>
      <xdr:colOff>149514</xdr:colOff>
      <xdr:row>31</xdr:row>
      <xdr:rowOff>10861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"/>
        <a:stretch/>
      </xdr:blipFill>
      <xdr:spPr>
        <a:xfrm>
          <a:off x="0" y="7402409"/>
          <a:ext cx="10623468" cy="392501"/>
        </a:xfrm>
        <a:prstGeom prst="rect">
          <a:avLst/>
        </a:prstGeom>
      </xdr:spPr>
    </xdr:pic>
    <xdr:clientData/>
  </xdr:twoCellAnchor>
  <xdr:oneCellAnchor>
    <xdr:from>
      <xdr:col>2</xdr:col>
      <xdr:colOff>1151282</xdr:colOff>
      <xdr:row>5</xdr:row>
      <xdr:rowOff>8283</xdr:rowOff>
    </xdr:from>
    <xdr:ext cx="1573697" cy="40937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/>
            <xdr:cNvSpPr txBox="1"/>
          </xdr:nvSpPr>
          <xdr:spPr>
            <a:xfrm>
              <a:off x="2393673" y="1424609"/>
              <a:ext cx="1573697" cy="4093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b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ru-RU" sz="110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𝑀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𝑥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𝑊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𝑥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𝑅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𝛾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sub>
                        </m:sSub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±</m:t>
                    </m:r>
                    <m:f>
                      <m:f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𝑀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𝑊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𝑅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𝛾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sub>
                        </m:sSub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≤1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8" name="TextBox 7"/>
            <xdr:cNvSpPr txBox="1"/>
          </xdr:nvSpPr>
          <xdr:spPr>
            <a:xfrm>
              <a:off x="2393673" y="1424609"/>
              <a:ext cx="1573697" cy="4093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b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𝑀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𝑊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𝑅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𝛾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𝑐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±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𝑀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𝑊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𝑅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𝛾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𝑐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≤1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1275522</xdr:colOff>
      <xdr:row>28</xdr:row>
      <xdr:rowOff>33130</xdr:rowOff>
    </xdr:from>
    <xdr:ext cx="1499152" cy="40937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/>
            <xdr:cNvSpPr txBox="1"/>
          </xdr:nvSpPr>
          <xdr:spPr>
            <a:xfrm>
              <a:off x="2517913" y="6833152"/>
              <a:ext cx="1499152" cy="4093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b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ru-RU" sz="110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𝑀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𝑥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𝑊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𝑥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𝑅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𝛾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sub>
                        </m:sSub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±</m:t>
                    </m:r>
                    <m:f>
                      <m:f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𝑀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ru-RU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𝑊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𝑅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𝛾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sub>
                        </m:sSub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12" name="TextBox 11"/>
            <xdr:cNvSpPr txBox="1"/>
          </xdr:nvSpPr>
          <xdr:spPr>
            <a:xfrm>
              <a:off x="2517913" y="6833152"/>
              <a:ext cx="1499152" cy="4093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b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𝑀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𝑊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𝑅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𝛾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𝑐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±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𝑀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𝑊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𝑅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𝛾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𝑐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=</a:t>
              </a:r>
              <a:endParaRPr lang="ru-RU" sz="1100"/>
            </a:p>
          </xdr:txBody>
        </xdr:sp>
      </mc:Fallback>
    </mc:AlternateContent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1714500</xdr:colOff>
      <xdr:row>4</xdr:row>
      <xdr:rowOff>9525</xdr:rowOff>
    </xdr:from>
    <xdr:ext cx="1135328" cy="19730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2373086" y="673554"/>
              <a:ext cx="1135328" cy="1973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𝑓</m:t>
                        </m:r>
                      </m:e>
                      <m:sub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факт</m:t>
                        </m:r>
                      </m:sub>
                    </m:sSub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&lt;</m:t>
                    </m:r>
                    <m:d>
                      <m:dPr>
                        <m:begChr m:val="["/>
                        <m:endChr m:val="]"/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</m:ctrlPr>
                      </m:d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  <m:t>𝑓</m:t>
                        </m:r>
                      </m:e>
                    </m:d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2373086" y="673554"/>
              <a:ext cx="1135328" cy="1973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факт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&lt;[𝑓]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997405</xdr:colOff>
      <xdr:row>5</xdr:row>
      <xdr:rowOff>8164</xdr:rowOff>
    </xdr:from>
    <xdr:ext cx="1866898" cy="37827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1655991" y="911678"/>
              <a:ext cx="1866898" cy="3782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факт</m:t>
                        </m:r>
                      </m:sub>
                    </m:sSub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384</m:t>
                        </m:r>
                      </m:den>
                    </m:f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𝑤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sSup>
                          <m:sSup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𝐽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𝑥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1655991" y="911678"/>
              <a:ext cx="1866898" cy="3782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𝑓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_факт=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5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/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384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𝑤×𝑎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_ср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×𝐵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𝐽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_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𝑥 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)</a:t>
              </a:r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Fallback>
    </mc:AlternateContent>
    <xdr:clientData/>
  </xdr:oneCellAnchor>
  <xdr:oneCellAnchor>
    <xdr:from>
      <xdr:col>2</xdr:col>
      <xdr:colOff>636814</xdr:colOff>
      <xdr:row>6</xdr:row>
      <xdr:rowOff>4083</xdr:rowOff>
    </xdr:from>
    <xdr:ext cx="2219325" cy="3769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/>
            <xdr:cNvSpPr txBox="1"/>
          </xdr:nvSpPr>
          <xdr:spPr>
            <a:xfrm>
              <a:off x="1295400" y="1288597"/>
              <a:ext cx="2219325" cy="3769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факт</m:t>
                        </m:r>
                      </m:sub>
                    </m:sSub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384</m:t>
                        </m:r>
                      </m:den>
                    </m:f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(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𝑤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+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𝑃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)×</m:t>
                        </m:r>
                        <m:sSup>
                          <m:sSup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𝐽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𝑥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>
              <a:off x="1295400" y="1288597"/>
              <a:ext cx="2219325" cy="3769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𝑓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_факт=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5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/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384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(𝑤×𝑎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_ср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+𝑃)×𝐵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𝐽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_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𝑥 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)</a:t>
              </a:r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Fallback>
    </mc:AlternateContent>
    <xdr:clientData/>
  </xdr:oneCellAnchor>
  <xdr:oneCellAnchor>
    <xdr:from>
      <xdr:col>2</xdr:col>
      <xdr:colOff>857948</xdr:colOff>
      <xdr:row>15</xdr:row>
      <xdr:rowOff>9293</xdr:rowOff>
    </xdr:from>
    <xdr:ext cx="1990723" cy="39493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/>
            <xdr:cNvSpPr txBox="1"/>
          </xdr:nvSpPr>
          <xdr:spPr>
            <a:xfrm>
              <a:off x="1513082" y="3438293"/>
              <a:ext cx="1990723" cy="3949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𝐼</m:t>
                        </m:r>
                      </m:e>
                      <m:sub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𝑥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 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𝑚𝑖𝑛</m:t>
                        </m:r>
                      </m:sub>
                    </m:sSub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384</m:t>
                        </m:r>
                      </m:den>
                    </m:f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𝑤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sSup>
                          <m:sSup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𝑓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Choice>
      <mc:Fallback xmlns="">
        <xdr:sp macro="" textlink="">
          <xdr:nvSpPr>
            <xdr:cNvPr id="6" name="TextBox 5"/>
            <xdr:cNvSpPr txBox="1"/>
          </xdr:nvSpPr>
          <xdr:spPr>
            <a:xfrm>
              <a:off x="1513082" y="3438293"/>
              <a:ext cx="1990723" cy="39493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𝐼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_(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𝑥 𝑚𝑖𝑛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)=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5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/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384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𝑤×𝑎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_ср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×𝐵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𝑓] </a:t>
              </a:r>
              <a:r>
                <a:rPr lang="ru-RU" sz="1100" b="0" i="0">
                  <a:solidFill>
                    <a:sysClr val="windowText" lastClr="000000"/>
                  </a:solidFill>
                  <a:effectLst/>
                  <a:latin typeface="Cambria Math"/>
                  <a:ea typeface="Cambria Math"/>
                  <a:cs typeface="+mn-cs"/>
                </a:rPr>
                <a:t>)</a:t>
              </a:r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Fallback>
    </mc:AlternateContent>
    <xdr:clientData/>
  </xdr:oneCellAnchor>
  <xdr:oneCellAnchor>
    <xdr:from>
      <xdr:col>2</xdr:col>
      <xdr:colOff>587297</xdr:colOff>
      <xdr:row>16</xdr:row>
      <xdr:rowOff>232</xdr:rowOff>
    </xdr:from>
    <xdr:ext cx="2276475" cy="38076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/>
            <xdr:cNvSpPr txBox="1"/>
          </xdr:nvSpPr>
          <xdr:spPr>
            <a:xfrm>
              <a:off x="1242431" y="3810232"/>
              <a:ext cx="2276475" cy="3807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𝐼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𝑥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𝑚𝑖𝑛</m:t>
                        </m:r>
                      </m:sub>
                    </m:sSub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384</m:t>
                        </m:r>
                      </m:den>
                    </m:f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(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𝑤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𝑎</m:t>
                            </m:r>
                          </m:e>
                          <m:sub>
                            <m: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ср</m:t>
                            </m:r>
                          </m:sub>
                        </m:sSub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+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𝑃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)×</m:t>
                        </m:r>
                        <m:sSup>
                          <m:sSupPr>
                            <m:ctrlPr>
                              <a:rPr lang="ru-RU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ysClr val="windowText" lastClr="000000"/>
                                </a:solidFill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solidFill>
                              <a:sysClr val="windowText" lastClr="000000"/>
                            </a:solidFill>
                            <a:latin typeface="Cambria Math"/>
                            <a:ea typeface="Cambria Math"/>
                          </a:rPr>
                          <m:t>×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𝑓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Choice>
      <mc:Fallback xmlns="">
        <xdr:sp macro="" textlink="">
          <xdr:nvSpPr>
            <xdr:cNvPr id="7" name="TextBox 6"/>
            <xdr:cNvSpPr txBox="1"/>
          </xdr:nvSpPr>
          <xdr:spPr>
            <a:xfrm>
              <a:off x="1242431" y="3810232"/>
              <a:ext cx="2276475" cy="3807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𝐼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_(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𝑥 𝑚𝑖𝑛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)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=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5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/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384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(𝑤×𝑎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_ср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+𝑃)×𝐵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^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)/(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  <a:ea typeface="Cambria Math"/>
                </a:rPr>
                <a:t>×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𝑓] </a:t>
              </a:r>
              <a:r>
                <a:rPr lang="ru-RU" sz="1100" b="0" i="0">
                  <a:solidFill>
                    <a:sysClr val="windowText" lastClr="000000"/>
                  </a:solidFill>
                  <a:effectLst/>
                  <a:latin typeface="Cambria Math"/>
                  <a:ea typeface="Cambria Math"/>
                  <a:cs typeface="+mn-cs"/>
                </a:rPr>
                <a:t>)</a:t>
              </a:r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30</xdr:row>
      <xdr:rowOff>556620</xdr:rowOff>
    </xdr:from>
    <xdr:to>
      <xdr:col>13</xdr:col>
      <xdr:colOff>170889</xdr:colOff>
      <xdr:row>31</xdr:row>
      <xdr:rowOff>379375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"/>
        <a:stretch/>
      </xdr:blipFill>
      <xdr:spPr>
        <a:xfrm>
          <a:off x="0" y="7424825"/>
          <a:ext cx="10610969" cy="38166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</xdr:colOff>
      <xdr:row>16</xdr:row>
      <xdr:rowOff>9525</xdr:rowOff>
    </xdr:from>
    <xdr:ext cx="3676648" cy="49109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/>
            <xdr:cNvSpPr txBox="1"/>
          </xdr:nvSpPr>
          <xdr:spPr>
            <a:xfrm>
              <a:off x="657227" y="2400300"/>
              <a:ext cx="3676648" cy="4910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𝐼</m:t>
                        </m:r>
                      </m:e>
                      <m:sub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𝑦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 </m:t>
                        </m:r>
                        <m:r>
                          <a:rPr lang="en-US" sz="1100" b="0" i="1">
                            <a:solidFill>
                              <a:sysClr val="windowText" lastClr="000000"/>
                            </a:solidFill>
                            <a:latin typeface="Cambria Math"/>
                          </a:rPr>
                          <m:t>𝑚𝑖𝑛</m:t>
                        </m:r>
                      </m:sub>
                    </m:sSub>
                    <m:r>
                      <a:rPr lang="ru-RU" sz="1100" b="0" i="1">
                        <a:solidFill>
                          <a:sysClr val="windowText" lastClr="000000"/>
                        </a:solidFill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384</m:t>
                        </m:r>
                      </m:den>
                    </m:f>
                    <m:r>
                      <a:rPr lang="ru-RU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𝑚</m:t>
                        </m:r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sSup>
                          <m:sSupPr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𝐸</m:t>
                        </m:r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𝑓</m:t>
                            </m:r>
                          </m:e>
                        </m:d>
                      </m:den>
                    </m:f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+</m:t>
                    </m:r>
                    <m:r>
                      <a:rPr lang="ru-RU" sz="110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𝑄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3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24∙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𝐸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d>
                          <m:dPr>
                            <m:begChr m:val="["/>
                            <m:endChr m:val="]"/>
                            <m:ctrlPr>
                              <a:rPr lang="ru-RU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𝑓</m:t>
                            </m:r>
                          </m:e>
                        </m:d>
                      </m:den>
                    </m:f>
                    <m:r>
                      <a:rPr lang="ru-RU" sz="110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×</m:t>
                    </m:r>
                    <m:d>
                      <m:d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d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3</m:t>
                        </m:r>
                        <m:f>
                          <m:f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num>
                          <m:den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𝐵</m:t>
                            </m:r>
                          </m:den>
                        </m:f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4</m:t>
                        </m:r>
                        <m:f>
                          <m:f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𝑐</m:t>
                                </m:r>
                              </m:e>
                              <m:sup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3</m:t>
                                </m:r>
                              </m:sup>
                            </m:sSup>
                          </m:num>
                          <m:den>
                            <m:sSup>
                              <m:sSup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𝐵</m:t>
                                </m:r>
                              </m:e>
                              <m:sup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3</m:t>
                                </m:r>
                              </m:sup>
                            </m:sSup>
                          </m:den>
                        </m:f>
                      </m:e>
                    </m:d>
                  </m:oMath>
                </m:oMathPara>
              </a14:m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>
              <a:off x="657227" y="2400300"/>
              <a:ext cx="3676648" cy="4910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𝐼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_(</a:t>
              </a:r>
              <a:r>
                <a:rPr lang="en-US" sz="1100" b="0" i="0">
                  <a:solidFill>
                    <a:sysClr val="windowText" lastClr="000000"/>
                  </a:solidFill>
                  <a:latin typeface="Cambria Math"/>
                </a:rPr>
                <a:t>𝑦 𝑚𝑖𝑛</a:t>
              </a:r>
              <a:r>
                <a:rPr lang="ru-RU" sz="1100" b="0" i="0">
                  <a:solidFill>
                    <a:sysClr val="windowText" lastClr="000000"/>
                  </a:solidFill>
                  <a:latin typeface="Cambria Math"/>
                </a:rPr>
                <a:t>)=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5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384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×(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𝑚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×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𝐵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^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4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𝐸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×[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𝑓]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+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=(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𝑄×𝐵^3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24∙𝐸×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𝑓]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×(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3 𝑐/𝐵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4 𝑐^3/𝐵^3 )</a:t>
              </a:r>
              <a:endParaRPr lang="ru-RU" sz="1100" i="1">
                <a:solidFill>
                  <a:sysClr val="windowText" lastClr="000000"/>
                </a:solidFill>
              </a:endParaRPr>
            </a:p>
          </xdr:txBody>
        </xdr:sp>
      </mc:Fallback>
    </mc:AlternateContent>
    <xdr:clientData/>
  </xdr:oneCellAnchor>
  <xdr:twoCellAnchor editAs="oneCell">
    <xdr:from>
      <xdr:col>0</xdr:col>
      <xdr:colOff>0</xdr:colOff>
      <xdr:row>29</xdr:row>
      <xdr:rowOff>307952</xdr:rowOff>
    </xdr:from>
    <xdr:to>
      <xdr:col>14</xdr:col>
      <xdr:colOff>2994</xdr:colOff>
      <xdr:row>30</xdr:row>
      <xdr:rowOff>377856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9"/>
        <a:stretch/>
      </xdr:blipFill>
      <xdr:spPr>
        <a:xfrm>
          <a:off x="0" y="7385027"/>
          <a:ext cx="10677344" cy="412804"/>
        </a:xfrm>
        <a:prstGeom prst="rect">
          <a:avLst/>
        </a:prstGeom>
      </xdr:spPr>
    </xdr:pic>
    <xdr:clientData/>
  </xdr:twoCellAnchor>
  <xdr:oneCellAnchor>
    <xdr:from>
      <xdr:col>2</xdr:col>
      <xdr:colOff>1247775</xdr:colOff>
      <xdr:row>4</xdr:row>
      <xdr:rowOff>28575</xdr:rowOff>
    </xdr:from>
    <xdr:ext cx="839391" cy="18756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/>
            <xdr:cNvSpPr txBox="1"/>
          </xdr:nvSpPr>
          <xdr:spPr>
            <a:xfrm>
              <a:off x="2628900" y="885825"/>
              <a:ext cx="839391" cy="1875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𝑓</m:t>
                        </m:r>
                      </m:e>
                      <m:sub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факт</m:t>
                        </m:r>
                      </m:sub>
                    </m:sSub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/>
                        <a:ea typeface="Cambria Math"/>
                        <a:cs typeface="+mn-cs"/>
                      </a:rPr>
                      <m:t>&lt;</m:t>
                    </m:r>
                    <m:d>
                      <m:dPr>
                        <m:begChr m:val="["/>
                        <m:endChr m:val="]"/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</m:ctrlPr>
                      </m:d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  <m:t>𝑓</m:t>
                        </m:r>
                      </m:e>
                    </m:d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6" name="TextBox 5"/>
            <xdr:cNvSpPr txBox="1"/>
          </xdr:nvSpPr>
          <xdr:spPr>
            <a:xfrm>
              <a:off x="2628900" y="885825"/>
              <a:ext cx="839391" cy="1875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факт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&lt;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[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𝑓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]</a:t>
              </a:r>
              <a:endParaRPr lang="ru-RU" sz="1100"/>
            </a:p>
          </xdr:txBody>
        </xdr:sp>
      </mc:Fallback>
    </mc:AlternateContent>
    <xdr:clientData/>
  </xdr:oneCellAnchor>
  <xdr:oneCellAnchor>
    <xdr:from>
      <xdr:col>2</xdr:col>
      <xdr:colOff>771525</xdr:colOff>
      <xdr:row>5</xdr:row>
      <xdr:rowOff>9525</xdr:rowOff>
    </xdr:from>
    <xdr:ext cx="1354015" cy="39272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/>
            <xdr:cNvSpPr txBox="1"/>
          </xdr:nvSpPr>
          <xdr:spPr>
            <a:xfrm>
              <a:off x="2152650" y="1104900"/>
              <a:ext cx="1354015" cy="3927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ru-RU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en-US" sz="1100" b="0" i="1">
                            <a:latin typeface="Cambria Math"/>
                          </a:rPr>
                          <m:t>𝑚</m:t>
                        </m:r>
                      </m:sub>
                    </m:sSub>
                    <m:r>
                      <a:rPr lang="ru-RU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/>
                          </a:rPr>
                          <m:t>384</m:t>
                        </m:r>
                      </m:den>
                    </m:f>
                    <m:r>
                      <a:rPr lang="ru-RU" sz="1100" b="0" i="1">
                        <a:latin typeface="Cambria Math"/>
                        <a:ea typeface="Cambria Math"/>
                      </a:rPr>
                      <m:t>×</m:t>
                    </m:r>
                    <m:f>
                      <m:fPr>
                        <m:ctrlPr>
                          <a:rPr lang="ru-RU" sz="1100" b="0" i="1">
                            <a:latin typeface="Cambria Math"/>
                            <a:ea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𝑚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p>
                          <m:sSup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4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latin typeface="Cambria Math"/>
                            <a:ea typeface="Cambria Math"/>
                          </a:rPr>
                          <m:t>𝐸</m:t>
                        </m:r>
                        <m:r>
                          <a:rPr lang="ru-RU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ru-RU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𝐽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/>
                                <a:ea typeface="Cambria Math"/>
                              </a:rPr>
                              <m:t>𝑦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ru-RU" sz="1100" i="1"/>
            </a:p>
          </xdr:txBody>
        </xdr:sp>
      </mc:Choice>
      <mc:Fallback xmlns="">
        <xdr:sp macro="" textlink="">
          <xdr:nvSpPr>
            <xdr:cNvPr id="7" name="TextBox 6"/>
            <xdr:cNvSpPr txBox="1"/>
          </xdr:nvSpPr>
          <xdr:spPr>
            <a:xfrm>
              <a:off x="2152650" y="1104900"/>
              <a:ext cx="1354015" cy="39272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latin typeface="Cambria Math"/>
                </a:rPr>
                <a:t>𝑓</a:t>
              </a:r>
              <a:r>
                <a:rPr lang="ru-RU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/>
                </a:rPr>
                <a:t>𝑚</a:t>
              </a:r>
              <a:r>
                <a:rPr lang="ru-RU" sz="1100" b="0" i="0">
                  <a:latin typeface="Cambria Math"/>
                </a:rPr>
                <a:t>=</a:t>
              </a:r>
              <a:r>
                <a:rPr lang="en-US" sz="1100" b="0" i="0">
                  <a:latin typeface="Cambria Math"/>
                </a:rPr>
                <a:t>5</a:t>
              </a:r>
              <a:r>
                <a:rPr lang="ru-RU" sz="1100" b="0" i="0">
                  <a:latin typeface="Cambria Math" panose="02040503050406030204" pitchFamily="18" charset="0"/>
                </a:rPr>
                <a:t>/</a:t>
              </a:r>
              <a:r>
                <a:rPr lang="en-US" sz="1100" b="0" i="0">
                  <a:latin typeface="Cambria Math"/>
                </a:rPr>
                <a:t>384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ru-RU" sz="1100" b="0" i="0">
                  <a:latin typeface="Cambria Math" panose="02040503050406030204" pitchFamily="18" charset="0"/>
                  <a:ea typeface="Cambria Math"/>
                </a:rPr>
                <a:t>(</a:t>
              </a:r>
              <a:r>
                <a:rPr lang="en-US" sz="1100" b="0" i="0">
                  <a:latin typeface="Cambria Math"/>
                  <a:ea typeface="Cambria Math"/>
                </a:rPr>
                <a:t>𝑚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en-US" sz="1100" b="0" i="0">
                  <a:latin typeface="Cambria Math"/>
                  <a:ea typeface="Cambria Math"/>
                </a:rPr>
                <a:t>𝐵</a:t>
              </a:r>
              <a:r>
                <a:rPr lang="ru-RU" sz="1100" b="0" i="0">
                  <a:latin typeface="Cambria Math" panose="02040503050406030204" pitchFamily="18" charset="0"/>
                  <a:ea typeface="Cambria Math"/>
                </a:rPr>
                <a:t>^</a:t>
              </a:r>
              <a:r>
                <a:rPr lang="en-US" sz="1100" b="0" i="0">
                  <a:latin typeface="Cambria Math"/>
                  <a:ea typeface="Cambria Math"/>
                </a:rPr>
                <a:t>4</a:t>
              </a:r>
              <a:r>
                <a:rPr lang="ru-RU" sz="1100" b="0" i="0">
                  <a:latin typeface="Cambria Math" panose="02040503050406030204" pitchFamily="18" charset="0"/>
                  <a:ea typeface="Cambria Math"/>
                </a:rPr>
                <a:t>)/(</a:t>
              </a:r>
              <a:r>
                <a:rPr lang="en-US" sz="1100" b="0" i="0">
                  <a:latin typeface="Cambria Math"/>
                  <a:ea typeface="Cambria Math"/>
                </a:rPr>
                <a:t>𝐸</a:t>
              </a:r>
              <a:r>
                <a:rPr lang="ru-RU" sz="1100" b="0" i="0">
                  <a:latin typeface="Cambria Math"/>
                  <a:ea typeface="Cambria Math"/>
                </a:rPr>
                <a:t>×</a:t>
              </a:r>
              <a:r>
                <a:rPr lang="en-US" sz="1100" b="0" i="0">
                  <a:latin typeface="Cambria Math"/>
                  <a:ea typeface="Cambria Math"/>
                </a:rPr>
                <a:t>𝐽</a:t>
              </a:r>
              <a:r>
                <a:rPr lang="ru-RU" sz="1100" b="0" i="0">
                  <a:latin typeface="Cambria Math" panose="02040503050406030204" pitchFamily="18" charset="0"/>
                  <a:ea typeface="Cambria Math"/>
                </a:rPr>
                <a:t>_</a:t>
              </a:r>
              <a:r>
                <a:rPr lang="en-US" sz="1100" b="0" i="0">
                  <a:latin typeface="Cambria Math"/>
                  <a:ea typeface="Cambria Math"/>
                </a:rPr>
                <a:t>𝑦</a:t>
              </a:r>
              <a:r>
                <a:rPr lang="en-US" sz="1100" b="0" i="0">
                  <a:latin typeface="Cambria Math" panose="02040503050406030204" pitchFamily="18" charset="0"/>
                  <a:ea typeface="Cambria Math"/>
                </a:rPr>
                <a:t> </a:t>
              </a:r>
              <a:r>
                <a:rPr lang="ru-RU" sz="1100" b="0" i="0">
                  <a:latin typeface="Cambria Math" panose="02040503050406030204" pitchFamily="18" charset="0"/>
                  <a:ea typeface="Cambria Math"/>
                </a:rPr>
                <a:t>)</a:t>
              </a:r>
              <a:endParaRPr lang="ru-RU" sz="1100" i="1"/>
            </a:p>
          </xdr:txBody>
        </xdr:sp>
      </mc:Fallback>
    </mc:AlternateContent>
    <xdr:clientData/>
  </xdr:oneCellAnchor>
  <xdr:oneCellAnchor>
    <xdr:from>
      <xdr:col>1</xdr:col>
      <xdr:colOff>638175</xdr:colOff>
      <xdr:row>6</xdr:row>
      <xdr:rowOff>19050</xdr:rowOff>
    </xdr:from>
    <xdr:ext cx="2200275" cy="39858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/>
            <xdr:cNvSpPr txBox="1"/>
          </xdr:nvSpPr>
          <xdr:spPr>
            <a:xfrm>
              <a:off x="1362075" y="1543050"/>
              <a:ext cx="2200275" cy="3985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/>
                        <a:ea typeface="Cambria Math"/>
                      </a:rPr>
                      <m:t> </m:t>
                    </m:r>
                    <m:sSub>
                      <m:sSub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𝑓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𝑄</m:t>
                        </m:r>
                      </m:sub>
                    </m:sSub>
                    <m:r>
                      <a:rPr lang="ru-RU" sz="110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𝑄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  <m:t>×</m:t>
                        </m:r>
                        <m:sSup>
                          <m:sSup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𝐵</m:t>
                            </m:r>
                          </m:e>
                          <m:sup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Cambria Math"/>
                                <a:cs typeface="+mn-cs"/>
                              </a:rPr>
                              <m:t>3</m:t>
                            </m:r>
                          </m:sup>
                        </m:sSup>
                      </m:num>
                      <m:den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Cambria Math"/>
                            <a:cs typeface="+mn-cs"/>
                          </a:rPr>
                          <m:t>24∙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𝐸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×</m:t>
                        </m:r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𝐽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𝑦</m:t>
                            </m:r>
                          </m:sub>
                        </m:sSub>
                      </m:den>
                    </m:f>
                    <m:r>
                      <a:rPr lang="ru-RU" sz="1100" i="1">
                        <a:solidFill>
                          <a:schemeClr val="tx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×</m:t>
                    </m:r>
                    <m:d>
                      <m:dPr>
                        <m:ctrlPr>
                          <a:rPr lang="ru-RU" sz="110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</m:ctrlPr>
                      </m:d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3</m:t>
                        </m:r>
                        <m:f>
                          <m:f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𝑐</m:t>
                            </m:r>
                          </m:num>
                          <m:den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𝐵</m:t>
                            </m:r>
                          </m:den>
                        </m:f>
                        <m:r>
                          <a:rPr lang="ru-RU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4</m:t>
                        </m:r>
                        <m:f>
                          <m:f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𝑐</m:t>
                                </m:r>
                              </m:e>
                              <m:sup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3</m:t>
                                </m:r>
                              </m:sup>
                            </m:sSup>
                          </m:num>
                          <m:den>
                            <m:sSup>
                              <m:sSup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𝐵</m:t>
                                </m:r>
                              </m:e>
                              <m:sup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3</m:t>
                                </m:r>
                              </m:sup>
                            </m:sSup>
                          </m:den>
                        </m:f>
                      </m:e>
                    </m:d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8" name="TextBox 7"/>
            <xdr:cNvSpPr txBox="1"/>
          </xdr:nvSpPr>
          <xdr:spPr>
            <a:xfrm>
              <a:off x="1362075" y="1543050"/>
              <a:ext cx="2200275" cy="3985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ctr">
              <a:noAutofit/>
            </a:bodyPr>
            <a:lstStyle/>
            <a:p>
              <a:pPr/>
              <a:r>
                <a:rPr lang="en-US" sz="1100" b="0" i="0">
                  <a:latin typeface="Cambria Math"/>
                  <a:ea typeface="Cambria Math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𝑓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𝑄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𝑄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×𝐵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/>
                  <a:cs typeface="+mn-cs"/>
                </a:rPr>
                <a:t>^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3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Cambria Math"/>
                  <a:cs typeface="+mn-cs"/>
                </a:rPr>
                <a:t>24∙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𝐸×𝐽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𝑦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×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3 𝑐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𝐵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4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𝑐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^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3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𝐵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^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3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)</a:t>
              </a:r>
              <a:endParaRPr lang="ru-RU" sz="1100"/>
            </a:p>
          </xdr:txBody>
        </xdr:sp>
      </mc:Fallback>
    </mc:AlternateContent>
    <xdr:clientData/>
  </xdr:oneCellAnchor>
</xdr:wsDr>
</file>

<file path=xl/tables/table1.xml><?xml version="1.0" encoding="utf-8"?>
<table xmlns="http://schemas.openxmlformats.org/spreadsheetml/2006/main" id="1" name="ГОРОД_ВР" displayName="ГОРОД_ВР" ref="A2:B243" totalsRowShown="0" headerRowDxfId="141">
  <autoFilter ref="A2:B243"/>
  <tableColumns count="2">
    <tableColumn id="1" name="Город" dataDxfId="140"/>
    <tableColumn id="2" name="Ветровой Район" dataDxfId="139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2" name="ВР_W0" displayName="ВР_W0" ref="D2:E10" totalsRowShown="0" headerRowDxfId="138" headerRowBorderDxfId="137" tableBorderDxfId="136" totalsRowBorderDxfId="135">
  <autoFilter ref="D2:E10"/>
  <tableColumns count="2">
    <tableColumn id="1" name="Ветровой Район"/>
    <tableColumn id="2" name="W0, кПа" dataDxfId="134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id="8" name="тип_здания" displayName="тип_здания" ref="D24:E28" totalsRowShown="0" headerRowDxfId="133" headerRowBorderDxfId="132" tableBorderDxfId="131" totalsRowBorderDxfId="130">
  <autoFilter ref="D24:E28"/>
  <tableColumns count="2">
    <tableColumn id="1" name="тип здания" dataDxfId="129"/>
    <tableColumn id="2" name="перильная нагрузка P, кН/м" dataDxfId="128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id="10" name="система" displayName="система" ref="D30:D32" totalsRowShown="0" headerRowDxfId="127" dataDxfId="125" headerRowBorderDxfId="126" tableBorderDxfId="124" totalsRowBorderDxfId="123">
  <autoFilter ref="D30:D32"/>
  <tableColumns count="1">
    <tableColumn id="1" name="система" dataDxfId="122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id="4" name="стойки_МП40_ГХ" displayName="стойки_МП40_ГХ" ref="A2:M17" totalsRowShown="0" headerRowDxfId="121" dataDxfId="120">
  <autoFilter ref="A2:M17"/>
  <tableColumns count="13">
    <tableColumn id="1" name="Артикул" dataDxfId="119"/>
    <tableColumn id="2" name="Ix, см4" dataDxfId="118"/>
    <tableColumn id="3" name="Wx, см3" dataDxfId="117"/>
    <tableColumn id="9" name="Wx Min, см3" dataDxfId="116"/>
    <tableColumn id="4" name="Iy, см4" dataDxfId="115"/>
    <tableColumn id="5" name="Wy, см3" dataDxfId="114"/>
    <tableColumn id="8" name="R, МПа" dataDxfId="113"/>
    <tableColumn id="6" name="Масса, кг/п.м." dataDxfId="112"/>
    <tableColumn id="10" name="A, см2" dataDxfId="111"/>
    <tableColumn id="7" name="ix, см" dataDxfId="110">
      <calculatedColumnFormula>SQRT(стойки_МП40_ГХ[[#This Row],[Ix, см4]]/стойки_МП40_ГХ[[#This Row],[A, см2]])</calculatedColumnFormula>
    </tableColumn>
    <tableColumn id="11" name="iy, см" dataDxfId="109">
      <calculatedColumnFormula>SQRT(стойки_МП40_ГХ[[#This Row],[Iy, см4]]/стойки_МП40_ГХ[[#This Row],[A, см2]])</calculatedColumnFormula>
    </tableColumn>
    <tableColumn id="12" name="ix, см2" dataDxfId="108">
      <calculatedColumnFormula>SQRT(стойки_МП40_ГХ[[#This Row],[Ix, см4]]/стойки_МП40_ГХ[[#This Row],[A, см2]])</calculatedColumnFormula>
    </tableColumn>
    <tableColumn id="13" name="iy, см3" dataDxfId="107">
      <calculatedColumnFormula>SQRT(стойки_МП40_ГХ[[#This Row],[Iy, см4]]/стойки_МП40_ГХ[[#This Row],[A, см2]])</calculatedColumnFormula>
    </tableColumn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id="12" name="ригели_МП50_ГХ" displayName="ригели_МП50_ГХ" ref="U24:AC32" totalsRowShown="0" headerRowDxfId="106" dataDxfId="105">
  <autoFilter ref="U24:AC32"/>
  <tableColumns count="9">
    <tableColumn id="1" name="Артикул" dataDxfId="104"/>
    <tableColumn id="2" name="Ix, см4" dataDxfId="103"/>
    <tableColumn id="3" name="Wx, см3" dataDxfId="102"/>
    <tableColumn id="4" name="Iy, см4" dataDxfId="101"/>
    <tableColumn id="5" name="Wy, см3" dataDxfId="100"/>
    <tableColumn id="8" name="R, МПа" dataDxfId="99"/>
    <tableColumn id="7" name="x, мм" dataDxfId="98"/>
    <tableColumn id="10" name="y, мм" dataDxfId="97"/>
    <tableColumn id="6" name="Масса, кг/п.м." dataDxfId="96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id="11" name="импосты_МП50_ГХ" displayName="импосты_МП50_ГХ" ref="M24:S32" totalsRowShown="0" headerRowDxfId="95" dataDxfId="94">
  <autoFilter ref="M24:S32"/>
  <tableColumns count="7">
    <tableColumn id="1" name="Артикул" dataDxfId="93"/>
    <tableColumn id="2" name="Ix, см4" dataDxfId="92"/>
    <tableColumn id="3" name="Wx, см3" dataDxfId="91"/>
    <tableColumn id="4" name="Iy, см4" dataDxfId="90"/>
    <tableColumn id="5" name="Wy, см3" dataDxfId="89"/>
    <tableColumn id="8" name="R, МПа" dataDxfId="88"/>
    <tableColumn id="6" name="Масса, кг/п.м." dataDxfId="87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id="7" name="стойки_МП50_ГХ" displayName="стойки_МП50_ГХ" ref="A24:K40" totalsRowShown="0" headerRowDxfId="86" dataDxfId="85">
  <autoFilter ref="A24:K40"/>
  <tableColumns count="11">
    <tableColumn id="1" name="Артикул" dataDxfId="84"/>
    <tableColumn id="2" name="Ix, см4" dataDxfId="83"/>
    <tableColumn id="3" name="Wx, см3" dataDxfId="82"/>
    <tableColumn id="9" name="Wx Min, см3" dataDxfId="81"/>
    <tableColumn id="4" name="Iy, см4" dataDxfId="80"/>
    <tableColumn id="5" name="Wy, см3" dataDxfId="79"/>
    <tableColumn id="8" name="R, МПа" dataDxfId="78"/>
    <tableColumn id="6" name="Масса, кг/п.м." dataDxfId="77"/>
    <tableColumn id="10" name="A, см2" dataDxfId="76"/>
    <tableColumn id="7" name="ix, см" dataDxfId="75">
      <calculatedColumnFormula>SQRT(стойки_МП50_ГХ[[#This Row],[Ix, см4]]/стойки_МП50_ГХ[[#This Row],[A, см2]])</calculatedColumnFormula>
    </tableColumn>
    <tableColumn id="11" name="iy, см" dataDxfId="74">
      <calculatedColumnFormula>SQRT(стойки_МП50_ГХ[[#This Row],[Iy, см4]]/стойки_МП50_ГХ[[#This Row],[A, см2]])</calculatedColumnFormula>
    </tableColumn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id="3" name="Содержание" displayName="Содержание" ref="B3:D12" totalsRowShown="0" headerRowDxfId="73" dataDxfId="72">
  <autoFilter ref="B3:D12"/>
  <tableColumns count="3">
    <tableColumn id="1" name="Лист" dataDxfId="71"/>
    <tableColumn id="2" name="Наименование" dataDxfId="70"/>
    <tableColumn id="3" name="Примечания" dataDxfId="69"/>
  </tableColumns>
  <tableStyleInfo name="Стиль таблицы 1" showFirstColumn="0" showLastColumn="0" showRowStripes="1" showColumnStripes="0"/>
</table>
</file>

<file path=xl/tables/table10.xml><?xml version="1.0" encoding="utf-8"?>
<table xmlns="http://schemas.openxmlformats.org/spreadsheetml/2006/main" id="5" name="Прилагаемые_документы" displayName="Прилагаемые_документы" ref="H3:I5" totalsRowShown="0" headerRowDxfId="68" dataDxfId="67">
  <autoFilter ref="H3:I5"/>
  <tableColumns count="2">
    <tableColumn id="1" name="Наименование" dataDxfId="66"/>
    <tableColumn id="2" name="Примечание" dataDxfId="65"/>
  </tableColumns>
  <tableStyleInfo name="Стиль таблицы 1" showFirstColumn="0" showLastColumn="0" showRowStripes="1" showColumnStripes="0"/>
</table>
</file>

<file path=xl/tables/table11.xml><?xml version="1.0" encoding="utf-8"?>
<table xmlns="http://schemas.openxmlformats.org/spreadsheetml/2006/main" id="6" name="Ссылочные_документы" displayName="Ссылочные_документы" ref="H15:I18" totalsRowShown="0" headerRowDxfId="64" dataDxfId="63">
  <autoFilter ref="H15:I18"/>
  <tableColumns count="2">
    <tableColumn id="1" name="Наименование" dataDxfId="62"/>
    <tableColumn id="2" name="Примечание" dataDxfId="61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s@tatprof.ru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11.xml"/><Relationship Id="rId4" Type="http://schemas.openxmlformats.org/officeDocument/2006/relationships/table" Target="../tables/table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3"/>
  <sheetViews>
    <sheetView zoomScale="85" zoomScaleNormal="85" workbookViewId="0">
      <selection activeCell="I27" sqref="I25:I27"/>
    </sheetView>
  </sheetViews>
  <sheetFormatPr defaultRowHeight="16.5" x14ac:dyDescent="0.3"/>
  <cols>
    <col min="1" max="1" width="29.85546875" style="1" bestFit="1" customWidth="1"/>
    <col min="2" max="2" width="20.5703125" style="1" bestFit="1" customWidth="1"/>
    <col min="3" max="3" width="9.140625" style="1"/>
    <col min="4" max="4" width="21.85546875" style="1" customWidth="1"/>
    <col min="5" max="5" width="17.42578125" style="1" customWidth="1"/>
    <col min="6" max="6" width="11.42578125" style="1" bestFit="1" customWidth="1"/>
    <col min="7" max="8" width="9.140625" style="1"/>
    <col min="9" max="9" width="27.42578125" style="1" customWidth="1"/>
    <col min="10" max="12" width="9.140625" style="1"/>
    <col min="13" max="13" width="35.140625" style="1" bestFit="1" customWidth="1"/>
    <col min="14" max="14" width="44" style="1" bestFit="1" customWidth="1"/>
    <col min="15" max="16384" width="9.140625" style="1"/>
  </cols>
  <sheetData>
    <row r="1" spans="1:14" x14ac:dyDescent="0.3">
      <c r="D1" s="1" t="s">
        <v>223</v>
      </c>
      <c r="I1" s="1" t="s">
        <v>237</v>
      </c>
      <c r="M1" s="14" t="s">
        <v>377</v>
      </c>
      <c r="N1" s="13" t="s">
        <v>378</v>
      </c>
    </row>
    <row r="2" spans="1:14" ht="17.25" thickBot="1" x14ac:dyDescent="0.35">
      <c r="A2" s="1" t="s">
        <v>10</v>
      </c>
      <c r="B2" s="1" t="s">
        <v>11</v>
      </c>
      <c r="D2" s="5" t="s">
        <v>11</v>
      </c>
      <c r="E2" s="6" t="s">
        <v>175</v>
      </c>
      <c r="I2" s="13" t="s">
        <v>238</v>
      </c>
      <c r="J2" s="15">
        <f>5/384</f>
        <v>1.3020833333333334E-2</v>
      </c>
      <c r="M2" s="13">
        <v>3</v>
      </c>
      <c r="N2" s="19">
        <v>100</v>
      </c>
    </row>
    <row r="3" spans="1:14" x14ac:dyDescent="0.3">
      <c r="A3" s="28" t="s">
        <v>583</v>
      </c>
      <c r="B3" s="28"/>
      <c r="D3" s="3" t="s">
        <v>176</v>
      </c>
      <c r="E3" s="8">
        <v>0.17</v>
      </c>
      <c r="I3" s="13" t="s">
        <v>400</v>
      </c>
      <c r="J3" s="15">
        <f>1/192</f>
        <v>5.208333333333333E-3</v>
      </c>
      <c r="M3" s="13">
        <v>5</v>
      </c>
      <c r="N3" s="19">
        <v>125</v>
      </c>
    </row>
    <row r="4" spans="1:14" x14ac:dyDescent="0.3">
      <c r="A4" s="134" t="s">
        <v>462</v>
      </c>
      <c r="B4" s="2" t="s">
        <v>174</v>
      </c>
      <c r="D4" s="4" t="s">
        <v>171</v>
      </c>
      <c r="E4" s="9">
        <v>0.23</v>
      </c>
      <c r="M4" s="13" t="s">
        <v>379</v>
      </c>
      <c r="N4"/>
    </row>
    <row r="5" spans="1:14" x14ac:dyDescent="0.3">
      <c r="A5" s="134" t="s">
        <v>463</v>
      </c>
      <c r="B5" s="2" t="s">
        <v>168</v>
      </c>
      <c r="D5" s="7" t="s">
        <v>169</v>
      </c>
      <c r="E5" s="10">
        <v>0.3</v>
      </c>
      <c r="I5" s="1" t="s">
        <v>243</v>
      </c>
    </row>
    <row r="6" spans="1:14" x14ac:dyDescent="0.3">
      <c r="A6" s="134" t="s">
        <v>464</v>
      </c>
      <c r="B6" s="2" t="s">
        <v>168</v>
      </c>
      <c r="D6" s="1" t="s">
        <v>168</v>
      </c>
      <c r="E6" s="11">
        <v>0.38</v>
      </c>
      <c r="I6" s="13" t="s">
        <v>244</v>
      </c>
    </row>
    <row r="7" spans="1:14" x14ac:dyDescent="0.3">
      <c r="A7" s="28" t="s">
        <v>12</v>
      </c>
      <c r="B7" s="2" t="s">
        <v>168</v>
      </c>
      <c r="D7" s="1" t="s">
        <v>170</v>
      </c>
      <c r="E7" s="11">
        <v>0.48</v>
      </c>
      <c r="I7" s="13" t="s">
        <v>245</v>
      </c>
      <c r="N7"/>
    </row>
    <row r="8" spans="1:14" x14ac:dyDescent="0.3">
      <c r="A8" s="134" t="s">
        <v>465</v>
      </c>
      <c r="B8" s="2" t="s">
        <v>174</v>
      </c>
      <c r="D8" s="1" t="s">
        <v>172</v>
      </c>
      <c r="E8" s="11">
        <v>0.6</v>
      </c>
      <c r="N8"/>
    </row>
    <row r="9" spans="1:14" x14ac:dyDescent="0.3">
      <c r="A9" s="28" t="s">
        <v>13</v>
      </c>
      <c r="B9" s="2" t="s">
        <v>169</v>
      </c>
      <c r="D9" s="1" t="s">
        <v>173</v>
      </c>
      <c r="E9" s="11">
        <v>0.73</v>
      </c>
      <c r="I9"/>
    </row>
    <row r="10" spans="1:14" x14ac:dyDescent="0.3">
      <c r="A10" s="134" t="s">
        <v>466</v>
      </c>
      <c r="B10" s="2" t="s">
        <v>168</v>
      </c>
      <c r="D10" s="1" t="s">
        <v>174</v>
      </c>
      <c r="E10" s="11">
        <v>0.85</v>
      </c>
      <c r="I10"/>
    </row>
    <row r="11" spans="1:14" x14ac:dyDescent="0.3">
      <c r="A11" s="28" t="s">
        <v>14</v>
      </c>
      <c r="B11" s="2" t="s">
        <v>170</v>
      </c>
      <c r="I11"/>
    </row>
    <row r="12" spans="1:14" x14ac:dyDescent="0.3">
      <c r="A12" s="28" t="s">
        <v>15</v>
      </c>
      <c r="B12" s="2" t="s">
        <v>169</v>
      </c>
      <c r="D12" s="1" t="s">
        <v>224</v>
      </c>
    </row>
    <row r="13" spans="1:14" x14ac:dyDescent="0.3">
      <c r="A13" s="134" t="s">
        <v>467</v>
      </c>
      <c r="B13" s="2" t="s">
        <v>168</v>
      </c>
      <c r="D13" s="150" t="s">
        <v>225</v>
      </c>
      <c r="E13" s="150" t="s">
        <v>196</v>
      </c>
      <c r="F13" s="150"/>
      <c r="G13" s="150"/>
      <c r="I13" s="1" t="s">
        <v>253</v>
      </c>
    </row>
    <row r="14" spans="1:14" x14ac:dyDescent="0.3">
      <c r="A14" s="28" t="s">
        <v>16</v>
      </c>
      <c r="B14" s="2" t="s">
        <v>168</v>
      </c>
      <c r="D14" s="150"/>
      <c r="E14" s="12" t="s">
        <v>226</v>
      </c>
      <c r="F14" s="12" t="s">
        <v>227</v>
      </c>
      <c r="G14" s="12" t="s">
        <v>228</v>
      </c>
      <c r="I14" s="13" t="s">
        <v>254</v>
      </c>
    </row>
    <row r="15" spans="1:14" x14ac:dyDescent="0.3">
      <c r="A15" s="28" t="s">
        <v>17</v>
      </c>
      <c r="B15" s="2" t="s">
        <v>168</v>
      </c>
      <c r="D15" s="12" t="s">
        <v>229</v>
      </c>
      <c r="E15" s="12">
        <v>0.15</v>
      </c>
      <c r="F15" s="12">
        <v>0.2</v>
      </c>
      <c r="G15" s="12">
        <v>0.25</v>
      </c>
      <c r="I15" s="13" t="s">
        <v>255</v>
      </c>
    </row>
    <row r="16" spans="1:14" x14ac:dyDescent="0.3">
      <c r="A16" s="28" t="s">
        <v>18</v>
      </c>
      <c r="B16" s="2" t="s">
        <v>168</v>
      </c>
      <c r="D16" s="12" t="s">
        <v>230</v>
      </c>
      <c r="E16" s="12">
        <v>1</v>
      </c>
      <c r="F16" s="12">
        <v>0.65</v>
      </c>
      <c r="G16" s="12">
        <v>0.4</v>
      </c>
    </row>
    <row r="17" spans="1:10" x14ac:dyDescent="0.3">
      <c r="A17" s="28" t="s">
        <v>19</v>
      </c>
      <c r="B17" s="2" t="s">
        <v>168</v>
      </c>
      <c r="D17" s="12" t="s">
        <v>231</v>
      </c>
      <c r="E17" s="12">
        <v>0.76</v>
      </c>
      <c r="F17" s="12">
        <v>1.06</v>
      </c>
      <c r="G17" s="12">
        <v>1.78</v>
      </c>
    </row>
    <row r="18" spans="1:10" x14ac:dyDescent="0.3">
      <c r="A18" s="28" t="s">
        <v>20</v>
      </c>
      <c r="B18" s="2" t="s">
        <v>171</v>
      </c>
    </row>
    <row r="19" spans="1:10" x14ac:dyDescent="0.3">
      <c r="A19" s="28" t="s">
        <v>21</v>
      </c>
      <c r="B19" s="2" t="s">
        <v>168</v>
      </c>
    </row>
    <row r="20" spans="1:10" x14ac:dyDescent="0.3">
      <c r="A20" s="28" t="s">
        <v>22</v>
      </c>
      <c r="B20" s="2" t="s">
        <v>168</v>
      </c>
      <c r="I20" s="13" t="s">
        <v>233</v>
      </c>
      <c r="J20" s="13" t="s">
        <v>236</v>
      </c>
    </row>
    <row r="21" spans="1:10" x14ac:dyDescent="0.3">
      <c r="A21" s="134" t="s">
        <v>468</v>
      </c>
      <c r="B21" s="2" t="s">
        <v>168</v>
      </c>
      <c r="I21" s="13" t="s">
        <v>235</v>
      </c>
      <c r="J21" s="13">
        <v>1.2</v>
      </c>
    </row>
    <row r="22" spans="1:10" x14ac:dyDescent="0.3">
      <c r="A22" s="134" t="s">
        <v>469</v>
      </c>
      <c r="B22" s="2" t="s">
        <v>169</v>
      </c>
      <c r="I22" s="13" t="s">
        <v>234</v>
      </c>
      <c r="J22" s="13">
        <v>2.2000000000000002</v>
      </c>
    </row>
    <row r="23" spans="1:10" x14ac:dyDescent="0.3">
      <c r="A23" s="28" t="s">
        <v>23</v>
      </c>
      <c r="B23" s="2" t="s">
        <v>169</v>
      </c>
      <c r="D23" s="1" t="s">
        <v>246</v>
      </c>
    </row>
    <row r="24" spans="1:10" ht="33" x14ac:dyDescent="0.3">
      <c r="A24" s="134" t="s">
        <v>470</v>
      </c>
      <c r="B24" s="2" t="s">
        <v>168</v>
      </c>
      <c r="D24" s="18" t="s">
        <v>247</v>
      </c>
      <c r="E24" s="20" t="s">
        <v>248</v>
      </c>
    </row>
    <row r="25" spans="1:10" x14ac:dyDescent="0.3">
      <c r="A25" s="134" t="s">
        <v>471</v>
      </c>
      <c r="B25" s="2" t="s">
        <v>169</v>
      </c>
      <c r="D25" s="19" t="s">
        <v>249</v>
      </c>
      <c r="E25" s="14">
        <v>0.5</v>
      </c>
      <c r="I25" s="29" t="s">
        <v>422</v>
      </c>
    </row>
    <row r="26" spans="1:10" x14ac:dyDescent="0.3">
      <c r="A26" s="134" t="s">
        <v>472</v>
      </c>
      <c r="B26" s="2" t="s">
        <v>168</v>
      </c>
      <c r="D26" s="19" t="s">
        <v>250</v>
      </c>
      <c r="E26" s="14">
        <v>1.5</v>
      </c>
      <c r="I26" s="29" t="s">
        <v>423</v>
      </c>
    </row>
    <row r="27" spans="1:10" x14ac:dyDescent="0.3">
      <c r="A27" s="134" t="s">
        <v>473</v>
      </c>
      <c r="B27" s="2" t="s">
        <v>168</v>
      </c>
      <c r="D27" s="19" t="s">
        <v>251</v>
      </c>
      <c r="E27" s="14">
        <v>0.8</v>
      </c>
      <c r="I27" s="29" t="s">
        <v>424</v>
      </c>
    </row>
    <row r="28" spans="1:10" x14ac:dyDescent="0.3">
      <c r="A28" s="134" t="s">
        <v>474</v>
      </c>
      <c r="B28" s="2" t="s">
        <v>168</v>
      </c>
      <c r="D28" s="17" t="s">
        <v>252</v>
      </c>
      <c r="E28" s="16">
        <v>0.3</v>
      </c>
      <c r="I28"/>
    </row>
    <row r="29" spans="1:10" x14ac:dyDescent="0.3">
      <c r="A29" s="28" t="s">
        <v>24</v>
      </c>
      <c r="B29" s="2" t="s">
        <v>171</v>
      </c>
    </row>
    <row r="30" spans="1:10" x14ac:dyDescent="0.3">
      <c r="A30" s="28" t="s">
        <v>25</v>
      </c>
      <c r="B30" s="2" t="s">
        <v>168</v>
      </c>
      <c r="D30" s="27" t="s">
        <v>413</v>
      </c>
      <c r="I30" s="29" t="s">
        <v>418</v>
      </c>
    </row>
    <row r="31" spans="1:10" x14ac:dyDescent="0.3">
      <c r="A31" s="28" t="s">
        <v>26</v>
      </c>
      <c r="B31" s="2" t="s">
        <v>169</v>
      </c>
      <c r="D31" s="26" t="s">
        <v>545</v>
      </c>
      <c r="I31" s="29" t="s">
        <v>419</v>
      </c>
    </row>
    <row r="32" spans="1:10" x14ac:dyDescent="0.3">
      <c r="A32" s="28" t="s">
        <v>27</v>
      </c>
      <c r="B32" s="2" t="s">
        <v>171</v>
      </c>
      <c r="D32" s="140" t="s">
        <v>546</v>
      </c>
      <c r="I32" s="29" t="s">
        <v>420</v>
      </c>
    </row>
    <row r="33" spans="1:4" x14ac:dyDescent="0.3">
      <c r="A33" s="134" t="s">
        <v>475</v>
      </c>
      <c r="B33" s="2" t="s">
        <v>168</v>
      </c>
    </row>
    <row r="34" spans="1:4" x14ac:dyDescent="0.3">
      <c r="A34" s="134" t="s">
        <v>476</v>
      </c>
      <c r="B34" s="2" t="s">
        <v>168</v>
      </c>
      <c r="D34" s="25" t="s">
        <v>199</v>
      </c>
    </row>
    <row r="35" spans="1:4" x14ac:dyDescent="0.3">
      <c r="A35" s="28" t="s">
        <v>28</v>
      </c>
      <c r="B35" s="2" t="s">
        <v>171</v>
      </c>
      <c r="D35" s="25" t="s">
        <v>425</v>
      </c>
    </row>
    <row r="36" spans="1:4" x14ac:dyDescent="0.3">
      <c r="A36" s="28" t="s">
        <v>29</v>
      </c>
      <c r="B36" s="2" t="s">
        <v>171</v>
      </c>
    </row>
    <row r="37" spans="1:4" x14ac:dyDescent="0.3">
      <c r="A37" s="28" t="s">
        <v>30</v>
      </c>
      <c r="B37" s="2" t="s">
        <v>170</v>
      </c>
    </row>
    <row r="38" spans="1:4" x14ac:dyDescent="0.3">
      <c r="A38" s="28" t="s">
        <v>32</v>
      </c>
      <c r="B38" s="2" t="s">
        <v>170</v>
      </c>
    </row>
    <row r="39" spans="1:4" x14ac:dyDescent="0.3">
      <c r="A39" s="28" t="s">
        <v>31</v>
      </c>
      <c r="B39" s="2" t="s">
        <v>171</v>
      </c>
    </row>
    <row r="40" spans="1:4" x14ac:dyDescent="0.3">
      <c r="A40" s="134" t="s">
        <v>477</v>
      </c>
      <c r="B40" s="2" t="s">
        <v>168</v>
      </c>
    </row>
    <row r="41" spans="1:4" x14ac:dyDescent="0.3">
      <c r="A41" s="28" t="s">
        <v>33</v>
      </c>
      <c r="B41" s="2" t="s">
        <v>168</v>
      </c>
    </row>
    <row r="42" spans="1:4" x14ac:dyDescent="0.3">
      <c r="A42" s="28" t="s">
        <v>36</v>
      </c>
      <c r="B42" s="2" t="s">
        <v>168</v>
      </c>
    </row>
    <row r="43" spans="1:4" x14ac:dyDescent="0.3">
      <c r="A43" s="28" t="s">
        <v>34</v>
      </c>
      <c r="B43" s="2" t="s">
        <v>168</v>
      </c>
    </row>
    <row r="44" spans="1:4" x14ac:dyDescent="0.3">
      <c r="A44" s="28" t="s">
        <v>35</v>
      </c>
      <c r="B44" s="2" t="s">
        <v>168</v>
      </c>
    </row>
    <row r="45" spans="1:4" x14ac:dyDescent="0.3">
      <c r="A45" s="134" t="s">
        <v>478</v>
      </c>
      <c r="B45" s="2" t="s">
        <v>168</v>
      </c>
    </row>
    <row r="46" spans="1:4" x14ac:dyDescent="0.3">
      <c r="A46" s="28" t="s">
        <v>37</v>
      </c>
      <c r="B46" s="2" t="s">
        <v>171</v>
      </c>
    </row>
    <row r="47" spans="1:4" x14ac:dyDescent="0.3">
      <c r="A47" s="134" t="s">
        <v>479</v>
      </c>
      <c r="B47" s="2" t="s">
        <v>168</v>
      </c>
    </row>
    <row r="48" spans="1:4" x14ac:dyDescent="0.3">
      <c r="A48" s="28" t="s">
        <v>38</v>
      </c>
      <c r="B48" s="2" t="s">
        <v>169</v>
      </c>
    </row>
    <row r="49" spans="1:2" x14ac:dyDescent="0.3">
      <c r="A49" s="134" t="s">
        <v>480</v>
      </c>
      <c r="B49" s="2" t="s">
        <v>168</v>
      </c>
    </row>
    <row r="50" spans="1:2" x14ac:dyDescent="0.3">
      <c r="A50" s="134" t="s">
        <v>481</v>
      </c>
      <c r="B50" s="2" t="s">
        <v>168</v>
      </c>
    </row>
    <row r="51" spans="1:2" x14ac:dyDescent="0.3">
      <c r="A51" s="134" t="s">
        <v>482</v>
      </c>
      <c r="B51" s="2" t="s">
        <v>168</v>
      </c>
    </row>
    <row r="52" spans="1:2" x14ac:dyDescent="0.3">
      <c r="A52" s="134" t="s">
        <v>483</v>
      </c>
      <c r="B52" s="2" t="s">
        <v>168</v>
      </c>
    </row>
    <row r="53" spans="1:2" x14ac:dyDescent="0.3">
      <c r="A53" s="28" t="s">
        <v>39</v>
      </c>
      <c r="B53" s="2" t="s">
        <v>170</v>
      </c>
    </row>
    <row r="54" spans="1:2" x14ac:dyDescent="0.3">
      <c r="A54" s="134" t="s">
        <v>484</v>
      </c>
      <c r="B54" s="2" t="s">
        <v>168</v>
      </c>
    </row>
    <row r="55" spans="1:2" x14ac:dyDescent="0.3">
      <c r="A55" s="134" t="s">
        <v>485</v>
      </c>
      <c r="B55" s="2" t="s">
        <v>168</v>
      </c>
    </row>
    <row r="56" spans="1:2" x14ac:dyDescent="0.3">
      <c r="A56" s="28" t="s">
        <v>40</v>
      </c>
      <c r="B56" s="2" t="s">
        <v>172</v>
      </c>
    </row>
    <row r="57" spans="1:2" x14ac:dyDescent="0.3">
      <c r="A57" s="134" t="s">
        <v>486</v>
      </c>
      <c r="B57" s="2" t="s">
        <v>169</v>
      </c>
    </row>
    <row r="58" spans="1:2" x14ac:dyDescent="0.3">
      <c r="A58" s="28" t="s">
        <v>41</v>
      </c>
      <c r="B58" s="2" t="s">
        <v>171</v>
      </c>
    </row>
    <row r="59" spans="1:2" x14ac:dyDescent="0.3">
      <c r="A59" s="28" t="s">
        <v>42</v>
      </c>
      <c r="B59" s="2" t="s">
        <v>169</v>
      </c>
    </row>
    <row r="60" spans="1:2" x14ac:dyDescent="0.3">
      <c r="A60" s="134" t="s">
        <v>487</v>
      </c>
      <c r="B60" s="2" t="s">
        <v>168</v>
      </c>
    </row>
    <row r="61" spans="1:2" x14ac:dyDescent="0.3">
      <c r="A61" s="134" t="s">
        <v>488</v>
      </c>
      <c r="B61" s="2" t="s">
        <v>168</v>
      </c>
    </row>
    <row r="62" spans="1:2" x14ac:dyDescent="0.3">
      <c r="A62" s="134" t="s">
        <v>489</v>
      </c>
      <c r="B62" s="2" t="s">
        <v>168</v>
      </c>
    </row>
    <row r="63" spans="1:2" x14ac:dyDescent="0.3">
      <c r="A63" s="134" t="s">
        <v>490</v>
      </c>
      <c r="B63" s="2" t="s">
        <v>168</v>
      </c>
    </row>
    <row r="64" spans="1:2" x14ac:dyDescent="0.3">
      <c r="A64" s="134" t="s">
        <v>491</v>
      </c>
      <c r="B64" s="2" t="s">
        <v>170</v>
      </c>
    </row>
    <row r="65" spans="1:2" x14ac:dyDescent="0.3">
      <c r="A65" s="28" t="s">
        <v>43</v>
      </c>
      <c r="B65" s="2" t="s">
        <v>171</v>
      </c>
    </row>
    <row r="66" spans="1:2" x14ac:dyDescent="0.3">
      <c r="A66" s="28" t="s">
        <v>44</v>
      </c>
      <c r="B66" s="2" t="s">
        <v>169</v>
      </c>
    </row>
    <row r="67" spans="1:2" x14ac:dyDescent="0.3">
      <c r="A67" s="28" t="s">
        <v>45</v>
      </c>
      <c r="B67" s="2" t="s">
        <v>169</v>
      </c>
    </row>
    <row r="68" spans="1:2" x14ac:dyDescent="0.3">
      <c r="A68" s="28" t="s">
        <v>46</v>
      </c>
      <c r="B68" s="2" t="s">
        <v>171</v>
      </c>
    </row>
    <row r="69" spans="1:2" x14ac:dyDescent="0.3">
      <c r="A69" s="134" t="s">
        <v>492</v>
      </c>
      <c r="B69" s="2" t="s">
        <v>168</v>
      </c>
    </row>
    <row r="70" spans="1:2" x14ac:dyDescent="0.3">
      <c r="A70" s="28" t="s">
        <v>47</v>
      </c>
      <c r="B70" s="2" t="s">
        <v>169</v>
      </c>
    </row>
    <row r="71" spans="1:2" x14ac:dyDescent="0.3">
      <c r="A71" s="134" t="s">
        <v>493</v>
      </c>
      <c r="B71" s="2" t="s">
        <v>168</v>
      </c>
    </row>
    <row r="72" spans="1:2" x14ac:dyDescent="0.3">
      <c r="A72" s="28" t="s">
        <v>48</v>
      </c>
      <c r="B72" s="2" t="s">
        <v>171</v>
      </c>
    </row>
    <row r="73" spans="1:2" x14ac:dyDescent="0.3">
      <c r="A73" s="28" t="s">
        <v>49</v>
      </c>
      <c r="B73" s="2" t="s">
        <v>171</v>
      </c>
    </row>
    <row r="74" spans="1:2" x14ac:dyDescent="0.3">
      <c r="A74" s="28" t="s">
        <v>51</v>
      </c>
      <c r="B74" s="2" t="s">
        <v>168</v>
      </c>
    </row>
    <row r="75" spans="1:2" x14ac:dyDescent="0.3">
      <c r="A75" s="134" t="s">
        <v>494</v>
      </c>
      <c r="B75" s="2" t="s">
        <v>168</v>
      </c>
    </row>
    <row r="76" spans="1:2" x14ac:dyDescent="0.3">
      <c r="A76" s="28" t="s">
        <v>50</v>
      </c>
      <c r="B76" s="2" t="s">
        <v>171</v>
      </c>
    </row>
    <row r="77" spans="1:2" x14ac:dyDescent="0.3">
      <c r="A77" s="28" t="s">
        <v>52</v>
      </c>
      <c r="B77" s="2" t="s">
        <v>169</v>
      </c>
    </row>
    <row r="78" spans="1:2" x14ac:dyDescent="0.3">
      <c r="A78" s="28" t="s">
        <v>53</v>
      </c>
      <c r="B78" s="2" t="s">
        <v>169</v>
      </c>
    </row>
    <row r="79" spans="1:2" x14ac:dyDescent="0.3">
      <c r="A79" s="28" t="s">
        <v>55</v>
      </c>
      <c r="B79" s="2" t="s">
        <v>171</v>
      </c>
    </row>
    <row r="80" spans="1:2" x14ac:dyDescent="0.3">
      <c r="A80" s="134" t="s">
        <v>495</v>
      </c>
      <c r="B80" s="2" t="s">
        <v>168</v>
      </c>
    </row>
    <row r="81" spans="1:2" x14ac:dyDescent="0.3">
      <c r="A81" s="28" t="s">
        <v>54</v>
      </c>
      <c r="B81" s="2" t="s">
        <v>171</v>
      </c>
    </row>
    <row r="82" spans="1:2" x14ac:dyDescent="0.3">
      <c r="A82" s="28" t="s">
        <v>56</v>
      </c>
      <c r="B82" s="2" t="s">
        <v>169</v>
      </c>
    </row>
    <row r="83" spans="1:2" x14ac:dyDescent="0.3">
      <c r="A83" s="134" t="s">
        <v>496</v>
      </c>
      <c r="B83" s="2" t="s">
        <v>169</v>
      </c>
    </row>
    <row r="84" spans="1:2" x14ac:dyDescent="0.3">
      <c r="A84" s="134" t="s">
        <v>497</v>
      </c>
      <c r="B84" s="2" t="s">
        <v>168</v>
      </c>
    </row>
    <row r="85" spans="1:2" x14ac:dyDescent="0.3">
      <c r="A85" s="28" t="s">
        <v>57</v>
      </c>
      <c r="B85" s="2" t="s">
        <v>168</v>
      </c>
    </row>
    <row r="86" spans="1:2" x14ac:dyDescent="0.3">
      <c r="A86" s="134" t="s">
        <v>498</v>
      </c>
      <c r="B86" s="2" t="s">
        <v>168</v>
      </c>
    </row>
    <row r="87" spans="1:2" x14ac:dyDescent="0.3">
      <c r="A87" s="134" t="s">
        <v>499</v>
      </c>
      <c r="B87" s="2" t="s">
        <v>168</v>
      </c>
    </row>
    <row r="88" spans="1:2" x14ac:dyDescent="0.3">
      <c r="A88" s="134" t="s">
        <v>500</v>
      </c>
      <c r="B88" s="2" t="s">
        <v>168</v>
      </c>
    </row>
    <row r="89" spans="1:2" x14ac:dyDescent="0.3">
      <c r="A89" s="28" t="s">
        <v>58</v>
      </c>
      <c r="B89" s="2" t="s">
        <v>171</v>
      </c>
    </row>
    <row r="90" spans="1:2" x14ac:dyDescent="0.3">
      <c r="A90" s="134" t="s">
        <v>501</v>
      </c>
      <c r="B90" s="2" t="s">
        <v>169</v>
      </c>
    </row>
    <row r="91" spans="1:2" x14ac:dyDescent="0.3">
      <c r="A91" s="28" t="s">
        <v>59</v>
      </c>
      <c r="B91" s="2" t="s">
        <v>169</v>
      </c>
    </row>
    <row r="92" spans="1:2" x14ac:dyDescent="0.3">
      <c r="A92" s="28" t="s">
        <v>60</v>
      </c>
      <c r="B92" s="2" t="s">
        <v>171</v>
      </c>
    </row>
    <row r="93" spans="1:2" x14ac:dyDescent="0.3">
      <c r="A93" s="28" t="s">
        <v>61</v>
      </c>
      <c r="B93" s="2" t="s">
        <v>171</v>
      </c>
    </row>
    <row r="94" spans="1:2" x14ac:dyDescent="0.3">
      <c r="A94" s="28" t="s">
        <v>62</v>
      </c>
      <c r="B94" s="2" t="s">
        <v>168</v>
      </c>
    </row>
    <row r="95" spans="1:2" x14ac:dyDescent="0.3">
      <c r="A95" s="28" t="s">
        <v>63</v>
      </c>
      <c r="B95" s="2" t="s">
        <v>169</v>
      </c>
    </row>
    <row r="96" spans="1:2" x14ac:dyDescent="0.3">
      <c r="A96" s="28" t="s">
        <v>63</v>
      </c>
      <c r="B96" s="2" t="s">
        <v>171</v>
      </c>
    </row>
    <row r="97" spans="1:2" x14ac:dyDescent="0.3">
      <c r="A97" s="28" t="s">
        <v>64</v>
      </c>
      <c r="B97" s="2" t="s">
        <v>171</v>
      </c>
    </row>
    <row r="98" spans="1:2" x14ac:dyDescent="0.3">
      <c r="A98" s="134" t="s">
        <v>502</v>
      </c>
      <c r="B98" s="2" t="s">
        <v>169</v>
      </c>
    </row>
    <row r="99" spans="1:2" x14ac:dyDescent="0.3">
      <c r="A99" s="28" t="s">
        <v>65</v>
      </c>
      <c r="B99" s="2" t="s">
        <v>171</v>
      </c>
    </row>
    <row r="100" spans="1:2" x14ac:dyDescent="0.3">
      <c r="A100" s="28" t="s">
        <v>66</v>
      </c>
      <c r="B100" s="2" t="s">
        <v>170</v>
      </c>
    </row>
    <row r="101" spans="1:2" x14ac:dyDescent="0.3">
      <c r="A101" s="134" t="s">
        <v>503</v>
      </c>
      <c r="B101" s="2" t="s">
        <v>168</v>
      </c>
    </row>
    <row r="102" spans="1:2" x14ac:dyDescent="0.3">
      <c r="A102" s="28" t="s">
        <v>67</v>
      </c>
      <c r="B102" s="2" t="s">
        <v>168</v>
      </c>
    </row>
    <row r="103" spans="1:2" x14ac:dyDescent="0.3">
      <c r="A103" s="134" t="s">
        <v>504</v>
      </c>
      <c r="B103" s="2" t="s">
        <v>168</v>
      </c>
    </row>
    <row r="104" spans="1:2" x14ac:dyDescent="0.3">
      <c r="A104" s="28" t="s">
        <v>68</v>
      </c>
      <c r="B104" s="2" t="s">
        <v>169</v>
      </c>
    </row>
    <row r="105" spans="1:2" x14ac:dyDescent="0.3">
      <c r="A105" s="28" t="s">
        <v>69</v>
      </c>
      <c r="B105" s="2" t="s">
        <v>169</v>
      </c>
    </row>
    <row r="106" spans="1:2" x14ac:dyDescent="0.3">
      <c r="A106" s="28" t="s">
        <v>70</v>
      </c>
      <c r="B106" s="2" t="s">
        <v>171</v>
      </c>
    </row>
    <row r="107" spans="1:2" x14ac:dyDescent="0.3">
      <c r="A107" s="134" t="s">
        <v>505</v>
      </c>
      <c r="B107" s="2" t="s">
        <v>168</v>
      </c>
    </row>
    <row r="108" spans="1:2" x14ac:dyDescent="0.3">
      <c r="A108" s="28" t="s">
        <v>71</v>
      </c>
      <c r="B108" s="2" t="s">
        <v>168</v>
      </c>
    </row>
    <row r="109" spans="1:2" x14ac:dyDescent="0.3">
      <c r="A109" s="134" t="s">
        <v>506</v>
      </c>
      <c r="B109" s="2" t="s">
        <v>168</v>
      </c>
    </row>
    <row r="110" spans="1:2" x14ac:dyDescent="0.3">
      <c r="A110" s="28" t="s">
        <v>72</v>
      </c>
      <c r="B110" s="2" t="s">
        <v>169</v>
      </c>
    </row>
    <row r="111" spans="1:2" x14ac:dyDescent="0.3">
      <c r="A111" s="134" t="s">
        <v>507</v>
      </c>
      <c r="B111" s="2" t="s">
        <v>168</v>
      </c>
    </row>
    <row r="112" spans="1:2" x14ac:dyDescent="0.3">
      <c r="A112" s="28" t="s">
        <v>73</v>
      </c>
      <c r="B112" s="2" t="s">
        <v>171</v>
      </c>
    </row>
    <row r="113" spans="1:2" x14ac:dyDescent="0.3">
      <c r="A113" s="28" t="s">
        <v>74</v>
      </c>
      <c r="B113" s="2" t="s">
        <v>172</v>
      </c>
    </row>
    <row r="114" spans="1:2" x14ac:dyDescent="0.3">
      <c r="A114" s="28" t="s">
        <v>75</v>
      </c>
      <c r="B114" s="2" t="s">
        <v>168</v>
      </c>
    </row>
    <row r="115" spans="1:2" x14ac:dyDescent="0.3">
      <c r="A115" s="28" t="s">
        <v>76</v>
      </c>
      <c r="B115" s="2" t="s">
        <v>170</v>
      </c>
    </row>
    <row r="116" spans="1:2" x14ac:dyDescent="0.3">
      <c r="A116" s="134" t="s">
        <v>508</v>
      </c>
      <c r="B116" s="2" t="s">
        <v>168</v>
      </c>
    </row>
    <row r="117" spans="1:2" x14ac:dyDescent="0.3">
      <c r="A117" s="28" t="s">
        <v>77</v>
      </c>
      <c r="B117" s="2" t="s">
        <v>172</v>
      </c>
    </row>
    <row r="118" spans="1:2" x14ac:dyDescent="0.3">
      <c r="A118" s="134" t="s">
        <v>509</v>
      </c>
      <c r="B118" s="2" t="s">
        <v>168</v>
      </c>
    </row>
    <row r="119" spans="1:2" x14ac:dyDescent="0.3">
      <c r="A119" s="28" t="s">
        <v>78</v>
      </c>
      <c r="B119" s="2" t="s">
        <v>169</v>
      </c>
    </row>
    <row r="120" spans="1:2" x14ac:dyDescent="0.3">
      <c r="A120" s="134" t="s">
        <v>510</v>
      </c>
      <c r="B120" s="2" t="s">
        <v>168</v>
      </c>
    </row>
    <row r="121" spans="1:2" x14ac:dyDescent="0.3">
      <c r="A121" s="28" t="s">
        <v>79</v>
      </c>
      <c r="B121" s="2" t="s">
        <v>171</v>
      </c>
    </row>
    <row r="122" spans="1:2" x14ac:dyDescent="0.3">
      <c r="A122" s="134" t="s">
        <v>511</v>
      </c>
      <c r="B122" s="2" t="s">
        <v>168</v>
      </c>
    </row>
    <row r="123" spans="1:2" x14ac:dyDescent="0.3">
      <c r="A123" s="28" t="s">
        <v>80</v>
      </c>
      <c r="B123" s="2" t="s">
        <v>170</v>
      </c>
    </row>
    <row r="124" spans="1:2" x14ac:dyDescent="0.3">
      <c r="A124" s="28" t="s">
        <v>81</v>
      </c>
      <c r="B124" s="2" t="s">
        <v>171</v>
      </c>
    </row>
    <row r="125" spans="1:2" x14ac:dyDescent="0.3">
      <c r="A125" s="134" t="s">
        <v>512</v>
      </c>
      <c r="B125" s="2" t="s">
        <v>170</v>
      </c>
    </row>
    <row r="126" spans="1:2" x14ac:dyDescent="0.3">
      <c r="A126" s="28" t="s">
        <v>82</v>
      </c>
      <c r="B126" s="2" t="s">
        <v>171</v>
      </c>
    </row>
    <row r="127" spans="1:2" x14ac:dyDescent="0.3">
      <c r="A127" s="28" t="s">
        <v>83</v>
      </c>
      <c r="B127" s="2" t="s">
        <v>169</v>
      </c>
    </row>
    <row r="128" spans="1:2" x14ac:dyDescent="0.3">
      <c r="A128" s="28" t="s">
        <v>84</v>
      </c>
      <c r="B128" s="2" t="s">
        <v>172</v>
      </c>
    </row>
    <row r="129" spans="1:2" x14ac:dyDescent="0.3">
      <c r="A129" s="28" t="s">
        <v>85</v>
      </c>
      <c r="B129" s="2" t="s">
        <v>172</v>
      </c>
    </row>
    <row r="130" spans="1:2" x14ac:dyDescent="0.3">
      <c r="A130" s="28" t="s">
        <v>86</v>
      </c>
      <c r="B130" s="2" t="s">
        <v>169</v>
      </c>
    </row>
    <row r="131" spans="1:2" x14ac:dyDescent="0.3">
      <c r="A131" s="28" t="s">
        <v>87</v>
      </c>
      <c r="B131" s="2" t="s">
        <v>169</v>
      </c>
    </row>
    <row r="132" spans="1:2" x14ac:dyDescent="0.3">
      <c r="A132" s="28" t="s">
        <v>88</v>
      </c>
      <c r="B132" s="2" t="s">
        <v>169</v>
      </c>
    </row>
    <row r="133" spans="1:2" x14ac:dyDescent="0.3">
      <c r="A133" s="134" t="s">
        <v>513</v>
      </c>
      <c r="B133" s="2" t="s">
        <v>169</v>
      </c>
    </row>
    <row r="134" spans="1:2" x14ac:dyDescent="0.3">
      <c r="A134" s="28" t="s">
        <v>89</v>
      </c>
      <c r="B134" s="2" t="s">
        <v>169</v>
      </c>
    </row>
    <row r="135" spans="1:2" x14ac:dyDescent="0.3">
      <c r="A135" s="28" t="s">
        <v>90</v>
      </c>
      <c r="B135" s="2" t="s">
        <v>171</v>
      </c>
    </row>
    <row r="136" spans="1:2" x14ac:dyDescent="0.3">
      <c r="A136" s="28" t="s">
        <v>91</v>
      </c>
      <c r="B136" s="2" t="s">
        <v>171</v>
      </c>
    </row>
    <row r="137" spans="1:2" x14ac:dyDescent="0.3">
      <c r="A137" s="134" t="s">
        <v>514</v>
      </c>
      <c r="B137" s="2" t="s">
        <v>168</v>
      </c>
    </row>
    <row r="138" spans="1:2" x14ac:dyDescent="0.3">
      <c r="A138" s="134" t="s">
        <v>515</v>
      </c>
      <c r="B138" s="2" t="s">
        <v>168</v>
      </c>
    </row>
    <row r="139" spans="1:2" x14ac:dyDescent="0.3">
      <c r="A139" s="134" t="s">
        <v>516</v>
      </c>
      <c r="B139" s="2" t="s">
        <v>168</v>
      </c>
    </row>
    <row r="140" spans="1:2" x14ac:dyDescent="0.3">
      <c r="A140" s="134" t="s">
        <v>517</v>
      </c>
      <c r="B140" s="2" t="s">
        <v>168</v>
      </c>
    </row>
    <row r="141" spans="1:2" x14ac:dyDescent="0.3">
      <c r="A141" s="28" t="s">
        <v>92</v>
      </c>
      <c r="B141" s="2" t="s">
        <v>168</v>
      </c>
    </row>
    <row r="142" spans="1:2" x14ac:dyDescent="0.3">
      <c r="A142" s="28" t="s">
        <v>93</v>
      </c>
      <c r="B142" s="2" t="s">
        <v>168</v>
      </c>
    </row>
    <row r="143" spans="1:2" x14ac:dyDescent="0.3">
      <c r="A143" s="28" t="s">
        <v>94</v>
      </c>
      <c r="B143" s="2" t="s">
        <v>171</v>
      </c>
    </row>
    <row r="144" spans="1:2" x14ac:dyDescent="0.3">
      <c r="A144" s="28" t="s">
        <v>95</v>
      </c>
      <c r="B144" s="2" t="s">
        <v>173</v>
      </c>
    </row>
    <row r="145" spans="1:2" x14ac:dyDescent="0.3">
      <c r="A145" s="28" t="s">
        <v>96</v>
      </c>
      <c r="B145" s="2" t="s">
        <v>168</v>
      </c>
    </row>
    <row r="146" spans="1:2" x14ac:dyDescent="0.3">
      <c r="A146" s="28" t="s">
        <v>97</v>
      </c>
      <c r="B146" s="2" t="s">
        <v>169</v>
      </c>
    </row>
    <row r="147" spans="1:2" x14ac:dyDescent="0.3">
      <c r="A147" s="28" t="s">
        <v>98</v>
      </c>
      <c r="B147" s="2" t="s">
        <v>168</v>
      </c>
    </row>
    <row r="148" spans="1:2" x14ac:dyDescent="0.3">
      <c r="A148" s="28" t="s">
        <v>99</v>
      </c>
      <c r="B148" s="2" t="s">
        <v>168</v>
      </c>
    </row>
    <row r="149" spans="1:2" x14ac:dyDescent="0.3">
      <c r="A149" s="28" t="s">
        <v>100</v>
      </c>
      <c r="B149" s="2" t="s">
        <v>169</v>
      </c>
    </row>
    <row r="150" spans="1:2" x14ac:dyDescent="0.3">
      <c r="A150" s="28" t="s">
        <v>101</v>
      </c>
      <c r="B150" s="2" t="s">
        <v>171</v>
      </c>
    </row>
    <row r="151" spans="1:2" x14ac:dyDescent="0.3">
      <c r="A151" s="28" t="s">
        <v>102</v>
      </c>
      <c r="B151" s="2" t="s">
        <v>168</v>
      </c>
    </row>
    <row r="152" spans="1:2" x14ac:dyDescent="0.3">
      <c r="A152" s="28" t="s">
        <v>103</v>
      </c>
      <c r="B152" s="2" t="s">
        <v>169</v>
      </c>
    </row>
    <row r="153" spans="1:2" x14ac:dyDescent="0.3">
      <c r="A153" s="28" t="s">
        <v>104</v>
      </c>
      <c r="B153" s="2" t="s">
        <v>171</v>
      </c>
    </row>
    <row r="154" spans="1:2" x14ac:dyDescent="0.3">
      <c r="A154" s="28" t="s">
        <v>105</v>
      </c>
      <c r="B154" s="2" t="s">
        <v>171</v>
      </c>
    </row>
    <row r="155" spans="1:2" x14ac:dyDescent="0.3">
      <c r="A155" s="28" t="s">
        <v>106</v>
      </c>
      <c r="B155" s="2" t="s">
        <v>169</v>
      </c>
    </row>
    <row r="156" spans="1:2" x14ac:dyDescent="0.3">
      <c r="A156" s="134" t="s">
        <v>518</v>
      </c>
      <c r="B156" s="2" t="s">
        <v>168</v>
      </c>
    </row>
    <row r="157" spans="1:2" x14ac:dyDescent="0.3">
      <c r="A157" s="28" t="s">
        <v>107</v>
      </c>
      <c r="B157" s="2" t="s">
        <v>169</v>
      </c>
    </row>
    <row r="158" spans="1:2" x14ac:dyDescent="0.3">
      <c r="A158" s="28" t="s">
        <v>108</v>
      </c>
      <c r="B158" s="2" t="s">
        <v>168</v>
      </c>
    </row>
    <row r="159" spans="1:2" x14ac:dyDescent="0.3">
      <c r="A159" s="134" t="s">
        <v>519</v>
      </c>
      <c r="B159" s="2" t="s">
        <v>168</v>
      </c>
    </row>
    <row r="160" spans="1:2" x14ac:dyDescent="0.3">
      <c r="A160" s="28" t="s">
        <v>109</v>
      </c>
      <c r="B160" s="2" t="s">
        <v>171</v>
      </c>
    </row>
    <row r="161" spans="1:2" x14ac:dyDescent="0.3">
      <c r="A161" s="28" t="s">
        <v>110</v>
      </c>
      <c r="B161" s="2" t="s">
        <v>169</v>
      </c>
    </row>
    <row r="162" spans="1:2" x14ac:dyDescent="0.3">
      <c r="A162" s="28" t="s">
        <v>111</v>
      </c>
      <c r="B162" s="2" t="s">
        <v>169</v>
      </c>
    </row>
    <row r="163" spans="1:2" x14ac:dyDescent="0.3">
      <c r="A163" s="134" t="s">
        <v>520</v>
      </c>
      <c r="B163" s="2" t="s">
        <v>168</v>
      </c>
    </row>
    <row r="164" spans="1:2" x14ac:dyDescent="0.3">
      <c r="A164" s="28" t="s">
        <v>112</v>
      </c>
      <c r="B164" s="2" t="s">
        <v>169</v>
      </c>
    </row>
    <row r="165" spans="1:2" x14ac:dyDescent="0.3">
      <c r="A165" s="28" t="s">
        <v>113</v>
      </c>
      <c r="B165" s="2" t="s">
        <v>171</v>
      </c>
    </row>
    <row r="166" spans="1:2" x14ac:dyDescent="0.3">
      <c r="A166" s="28" t="s">
        <v>114</v>
      </c>
      <c r="B166" s="2" t="s">
        <v>172</v>
      </c>
    </row>
    <row r="167" spans="1:2" x14ac:dyDescent="0.3">
      <c r="A167" s="28" t="s">
        <v>115</v>
      </c>
      <c r="B167" s="2" t="s">
        <v>174</v>
      </c>
    </row>
    <row r="168" spans="1:2" x14ac:dyDescent="0.3">
      <c r="A168" s="28" t="s">
        <v>116</v>
      </c>
      <c r="B168" s="2" t="s">
        <v>171</v>
      </c>
    </row>
    <row r="169" spans="1:2" x14ac:dyDescent="0.3">
      <c r="A169" s="134" t="s">
        <v>521</v>
      </c>
      <c r="B169" s="2" t="s">
        <v>168</v>
      </c>
    </row>
    <row r="170" spans="1:2" x14ac:dyDescent="0.3">
      <c r="A170" s="134" t="s">
        <v>522</v>
      </c>
      <c r="B170" s="2" t="s">
        <v>168</v>
      </c>
    </row>
    <row r="171" spans="1:2" x14ac:dyDescent="0.3">
      <c r="A171" s="134" t="s">
        <v>523</v>
      </c>
      <c r="B171" s="2" t="s">
        <v>168</v>
      </c>
    </row>
    <row r="172" spans="1:2" x14ac:dyDescent="0.3">
      <c r="A172" s="28" t="s">
        <v>117</v>
      </c>
      <c r="B172" s="2" t="s">
        <v>169</v>
      </c>
    </row>
    <row r="173" spans="1:2" x14ac:dyDescent="0.3">
      <c r="A173" s="28" t="s">
        <v>118</v>
      </c>
      <c r="B173" s="2" t="s">
        <v>171</v>
      </c>
    </row>
    <row r="174" spans="1:2" x14ac:dyDescent="0.3">
      <c r="A174" s="134" t="s">
        <v>524</v>
      </c>
      <c r="B174" s="2" t="s">
        <v>168</v>
      </c>
    </row>
    <row r="175" spans="1:2" x14ac:dyDescent="0.3">
      <c r="A175" s="134" t="s">
        <v>525</v>
      </c>
      <c r="B175" s="2" t="s">
        <v>168</v>
      </c>
    </row>
    <row r="176" spans="1:2" x14ac:dyDescent="0.3">
      <c r="A176" s="28" t="s">
        <v>119</v>
      </c>
      <c r="B176" s="2" t="s">
        <v>168</v>
      </c>
    </row>
    <row r="177" spans="1:2" x14ac:dyDescent="0.3">
      <c r="A177" s="28" t="s">
        <v>120</v>
      </c>
      <c r="B177" s="2" t="s">
        <v>168</v>
      </c>
    </row>
    <row r="178" spans="1:2" x14ac:dyDescent="0.3">
      <c r="A178" s="28" t="s">
        <v>121</v>
      </c>
      <c r="B178" s="2" t="s">
        <v>171</v>
      </c>
    </row>
    <row r="179" spans="1:2" x14ac:dyDescent="0.3">
      <c r="A179" s="28" t="s">
        <v>122</v>
      </c>
      <c r="B179" s="2" t="s">
        <v>171</v>
      </c>
    </row>
    <row r="180" spans="1:2" x14ac:dyDescent="0.3">
      <c r="A180" s="134" t="s">
        <v>526</v>
      </c>
      <c r="B180" s="2" t="s">
        <v>170</v>
      </c>
    </row>
    <row r="181" spans="1:2" x14ac:dyDescent="0.3">
      <c r="A181" s="28" t="s">
        <v>123</v>
      </c>
      <c r="B181" s="2" t="s">
        <v>168</v>
      </c>
    </row>
    <row r="182" spans="1:2" x14ac:dyDescent="0.3">
      <c r="A182" s="28" t="s">
        <v>124</v>
      </c>
      <c r="B182" s="2" t="s">
        <v>168</v>
      </c>
    </row>
    <row r="183" spans="1:2" x14ac:dyDescent="0.3">
      <c r="A183" s="28" t="s">
        <v>125</v>
      </c>
      <c r="B183" s="2" t="s">
        <v>169</v>
      </c>
    </row>
    <row r="184" spans="1:2" x14ac:dyDescent="0.3">
      <c r="A184" s="28" t="s">
        <v>126</v>
      </c>
      <c r="B184" s="2" t="s">
        <v>169</v>
      </c>
    </row>
    <row r="185" spans="1:2" x14ac:dyDescent="0.3">
      <c r="A185" s="28" t="s">
        <v>127</v>
      </c>
      <c r="B185" s="2" t="s">
        <v>168</v>
      </c>
    </row>
    <row r="186" spans="1:2" x14ac:dyDescent="0.3">
      <c r="A186" s="134" t="s">
        <v>527</v>
      </c>
      <c r="B186" s="2" t="s">
        <v>169</v>
      </c>
    </row>
    <row r="187" spans="1:2" x14ac:dyDescent="0.3">
      <c r="A187" s="134" t="s">
        <v>528</v>
      </c>
      <c r="B187" s="2" t="s">
        <v>169</v>
      </c>
    </row>
    <row r="188" spans="1:2" x14ac:dyDescent="0.3">
      <c r="A188" s="28" t="s">
        <v>128</v>
      </c>
      <c r="B188" s="2" t="s">
        <v>169</v>
      </c>
    </row>
    <row r="189" spans="1:2" x14ac:dyDescent="0.3">
      <c r="A189" s="28" t="s">
        <v>129</v>
      </c>
      <c r="B189" s="2" t="s">
        <v>169</v>
      </c>
    </row>
    <row r="190" spans="1:2" x14ac:dyDescent="0.3">
      <c r="A190" s="134" t="s">
        <v>529</v>
      </c>
      <c r="B190" s="2" t="s">
        <v>168</v>
      </c>
    </row>
    <row r="191" spans="1:2" x14ac:dyDescent="0.3">
      <c r="A191" s="28" t="s">
        <v>130</v>
      </c>
      <c r="B191" s="2" t="s">
        <v>171</v>
      </c>
    </row>
    <row r="192" spans="1:2" x14ac:dyDescent="0.3">
      <c r="A192" s="28" t="s">
        <v>131</v>
      </c>
      <c r="B192" s="2" t="s">
        <v>171</v>
      </c>
    </row>
    <row r="193" spans="1:2" x14ac:dyDescent="0.3">
      <c r="A193" s="134" t="s">
        <v>530</v>
      </c>
      <c r="B193" s="2" t="s">
        <v>168</v>
      </c>
    </row>
    <row r="194" spans="1:2" x14ac:dyDescent="0.3">
      <c r="A194" s="134" t="s">
        <v>531</v>
      </c>
      <c r="B194" s="2" t="s">
        <v>168</v>
      </c>
    </row>
    <row r="195" spans="1:2" x14ac:dyDescent="0.3">
      <c r="A195" s="28" t="s">
        <v>132</v>
      </c>
      <c r="B195" s="2" t="s">
        <v>171</v>
      </c>
    </row>
    <row r="196" spans="1:2" x14ac:dyDescent="0.3">
      <c r="A196" s="134" t="s">
        <v>532</v>
      </c>
      <c r="B196" s="2" t="s">
        <v>169</v>
      </c>
    </row>
    <row r="197" spans="1:2" x14ac:dyDescent="0.3">
      <c r="A197" s="28" t="s">
        <v>133</v>
      </c>
      <c r="B197" s="2" t="s">
        <v>168</v>
      </c>
    </row>
    <row r="198" spans="1:2" x14ac:dyDescent="0.3">
      <c r="A198" s="28" t="s">
        <v>134</v>
      </c>
      <c r="B198" s="2" t="s">
        <v>170</v>
      </c>
    </row>
    <row r="199" spans="1:2" x14ac:dyDescent="0.3">
      <c r="A199" s="134" t="s">
        <v>533</v>
      </c>
      <c r="B199" s="2" t="s">
        <v>169</v>
      </c>
    </row>
    <row r="200" spans="1:2" x14ac:dyDescent="0.3">
      <c r="A200" s="28" t="s">
        <v>135</v>
      </c>
      <c r="B200" s="2" t="s">
        <v>169</v>
      </c>
    </row>
    <row r="201" spans="1:2" x14ac:dyDescent="0.3">
      <c r="A201" s="134" t="s">
        <v>534</v>
      </c>
      <c r="B201" s="2" t="s">
        <v>168</v>
      </c>
    </row>
    <row r="202" spans="1:2" x14ac:dyDescent="0.3">
      <c r="A202" s="28" t="s">
        <v>136</v>
      </c>
      <c r="B202" s="2" t="s">
        <v>168</v>
      </c>
    </row>
    <row r="203" spans="1:2" x14ac:dyDescent="0.3">
      <c r="A203" s="134" t="s">
        <v>535</v>
      </c>
      <c r="B203" s="2" t="s">
        <v>168</v>
      </c>
    </row>
    <row r="204" spans="1:2" x14ac:dyDescent="0.3">
      <c r="A204" s="28" t="s">
        <v>137</v>
      </c>
      <c r="B204" s="2" t="s">
        <v>169</v>
      </c>
    </row>
    <row r="205" spans="1:2" x14ac:dyDescent="0.3">
      <c r="A205" s="134" t="s">
        <v>536</v>
      </c>
      <c r="B205" s="2" t="s">
        <v>168</v>
      </c>
    </row>
    <row r="206" spans="1:2" x14ac:dyDescent="0.3">
      <c r="A206" s="134" t="s">
        <v>537</v>
      </c>
      <c r="B206" s="2" t="s">
        <v>168</v>
      </c>
    </row>
    <row r="207" spans="1:2" x14ac:dyDescent="0.3">
      <c r="A207" s="28" t="s">
        <v>138</v>
      </c>
      <c r="B207" s="2" t="s">
        <v>168</v>
      </c>
    </row>
    <row r="208" spans="1:2" x14ac:dyDescent="0.3">
      <c r="A208" s="28" t="s">
        <v>139</v>
      </c>
      <c r="B208" s="2" t="s">
        <v>171</v>
      </c>
    </row>
    <row r="209" spans="1:2" x14ac:dyDescent="0.3">
      <c r="A209" s="28" t="s">
        <v>140</v>
      </c>
      <c r="B209" s="2" t="s">
        <v>168</v>
      </c>
    </row>
    <row r="210" spans="1:2" x14ac:dyDescent="0.3">
      <c r="A210" s="28" t="s">
        <v>141</v>
      </c>
      <c r="B210" s="2" t="s">
        <v>169</v>
      </c>
    </row>
    <row r="211" spans="1:2" x14ac:dyDescent="0.3">
      <c r="A211" s="28" t="s">
        <v>142</v>
      </c>
      <c r="B211" s="2" t="s">
        <v>171</v>
      </c>
    </row>
    <row r="212" spans="1:2" x14ac:dyDescent="0.3">
      <c r="A212" s="28" t="s">
        <v>143</v>
      </c>
      <c r="B212" s="2" t="s">
        <v>169</v>
      </c>
    </row>
    <row r="213" spans="1:2" x14ac:dyDescent="0.3">
      <c r="A213" s="134" t="s">
        <v>538</v>
      </c>
      <c r="B213" s="2" t="s">
        <v>168</v>
      </c>
    </row>
    <row r="214" spans="1:2" x14ac:dyDescent="0.3">
      <c r="A214" s="28" t="s">
        <v>144</v>
      </c>
      <c r="B214" s="2" t="s">
        <v>168</v>
      </c>
    </row>
    <row r="215" spans="1:2" x14ac:dyDescent="0.3">
      <c r="A215" s="28" t="s">
        <v>145</v>
      </c>
      <c r="B215" s="2" t="s">
        <v>168</v>
      </c>
    </row>
    <row r="216" spans="1:2" x14ac:dyDescent="0.3">
      <c r="A216" s="28" t="s">
        <v>146</v>
      </c>
      <c r="B216" s="2" t="s">
        <v>171</v>
      </c>
    </row>
    <row r="217" spans="1:2" x14ac:dyDescent="0.3">
      <c r="A217" s="28" t="s">
        <v>147</v>
      </c>
      <c r="B217" s="2" t="s">
        <v>171</v>
      </c>
    </row>
    <row r="218" spans="1:2" x14ac:dyDescent="0.3">
      <c r="A218" s="28" t="s">
        <v>148</v>
      </c>
      <c r="B218" s="2" t="s">
        <v>168</v>
      </c>
    </row>
    <row r="219" spans="1:2" x14ac:dyDescent="0.3">
      <c r="A219" s="28" t="s">
        <v>149</v>
      </c>
      <c r="B219" s="2" t="s">
        <v>169</v>
      </c>
    </row>
    <row r="220" spans="1:2" x14ac:dyDescent="0.3">
      <c r="A220" s="28" t="s">
        <v>150</v>
      </c>
      <c r="B220" s="2" t="s">
        <v>168</v>
      </c>
    </row>
    <row r="221" spans="1:2" x14ac:dyDescent="0.3">
      <c r="A221" s="28" t="s">
        <v>151</v>
      </c>
      <c r="B221" s="2" t="s">
        <v>169</v>
      </c>
    </row>
    <row r="222" spans="1:2" x14ac:dyDescent="0.3">
      <c r="A222" s="28" t="s">
        <v>152</v>
      </c>
      <c r="B222" s="2" t="s">
        <v>169</v>
      </c>
    </row>
    <row r="223" spans="1:2" x14ac:dyDescent="0.3">
      <c r="A223" s="134" t="s">
        <v>539</v>
      </c>
      <c r="B223" s="2" t="s">
        <v>169</v>
      </c>
    </row>
    <row r="224" spans="1:2" x14ac:dyDescent="0.3">
      <c r="A224" s="28" t="s">
        <v>153</v>
      </c>
      <c r="B224" s="2" t="s">
        <v>168</v>
      </c>
    </row>
    <row r="225" spans="1:2" x14ac:dyDescent="0.3">
      <c r="A225" s="28" t="s">
        <v>154</v>
      </c>
      <c r="B225" s="2" t="s">
        <v>172</v>
      </c>
    </row>
    <row r="226" spans="1:2" x14ac:dyDescent="0.3">
      <c r="A226" s="134" t="s">
        <v>540</v>
      </c>
      <c r="B226" s="2" t="s">
        <v>168</v>
      </c>
    </row>
    <row r="227" spans="1:2" x14ac:dyDescent="0.3">
      <c r="A227" s="28" t="s">
        <v>155</v>
      </c>
      <c r="B227" s="2" t="s">
        <v>171</v>
      </c>
    </row>
    <row r="228" spans="1:2" x14ac:dyDescent="0.3">
      <c r="A228" s="134" t="s">
        <v>541</v>
      </c>
      <c r="B228" s="2" t="s">
        <v>168</v>
      </c>
    </row>
    <row r="229" spans="1:2" x14ac:dyDescent="0.3">
      <c r="A229" s="28" t="s">
        <v>156</v>
      </c>
      <c r="B229" s="2" t="s">
        <v>169</v>
      </c>
    </row>
    <row r="230" spans="1:2" x14ac:dyDescent="0.3">
      <c r="A230" s="28" t="s">
        <v>157</v>
      </c>
      <c r="B230" s="2" t="s">
        <v>169</v>
      </c>
    </row>
    <row r="231" spans="1:2" x14ac:dyDescent="0.3">
      <c r="A231" s="28" t="s">
        <v>159</v>
      </c>
      <c r="B231" s="2" t="s">
        <v>171</v>
      </c>
    </row>
    <row r="232" spans="1:2" x14ac:dyDescent="0.3">
      <c r="A232" s="134" t="s">
        <v>542</v>
      </c>
      <c r="B232" s="2" t="s">
        <v>168</v>
      </c>
    </row>
    <row r="233" spans="1:2" x14ac:dyDescent="0.3">
      <c r="A233" s="28" t="s">
        <v>158</v>
      </c>
      <c r="B233" s="2" t="s">
        <v>169</v>
      </c>
    </row>
    <row r="234" spans="1:2" x14ac:dyDescent="0.3">
      <c r="A234" s="28" t="s">
        <v>160</v>
      </c>
      <c r="B234" s="2" t="s">
        <v>168</v>
      </c>
    </row>
    <row r="235" spans="1:2" x14ac:dyDescent="0.3">
      <c r="A235" s="28" t="s">
        <v>161</v>
      </c>
      <c r="B235" s="2" t="s">
        <v>171</v>
      </c>
    </row>
    <row r="236" spans="1:2" x14ac:dyDescent="0.3">
      <c r="A236" s="28" t="s">
        <v>162</v>
      </c>
      <c r="B236" s="2" t="s">
        <v>171</v>
      </c>
    </row>
    <row r="237" spans="1:2" x14ac:dyDescent="0.3">
      <c r="A237" s="28" t="s">
        <v>164</v>
      </c>
      <c r="B237" s="2" t="s">
        <v>168</v>
      </c>
    </row>
    <row r="238" spans="1:2" x14ac:dyDescent="0.3">
      <c r="A238" s="28" t="s">
        <v>163</v>
      </c>
      <c r="B238" s="2" t="s">
        <v>168</v>
      </c>
    </row>
    <row r="239" spans="1:2" x14ac:dyDescent="0.3">
      <c r="A239" s="134" t="s">
        <v>543</v>
      </c>
      <c r="B239" s="2" t="s">
        <v>168</v>
      </c>
    </row>
    <row r="240" spans="1:2" x14ac:dyDescent="0.3">
      <c r="A240" s="28" t="s">
        <v>165</v>
      </c>
      <c r="B240" s="2" t="s">
        <v>173</v>
      </c>
    </row>
    <row r="241" spans="1:2" x14ac:dyDescent="0.3">
      <c r="A241" s="28" t="s">
        <v>167</v>
      </c>
      <c r="B241" s="2" t="s">
        <v>169</v>
      </c>
    </row>
    <row r="242" spans="1:2" x14ac:dyDescent="0.3">
      <c r="A242" s="134" t="s">
        <v>544</v>
      </c>
      <c r="B242" s="2" t="s">
        <v>168</v>
      </c>
    </row>
    <row r="243" spans="1:2" x14ac:dyDescent="0.3">
      <c r="A243" s="28" t="s">
        <v>166</v>
      </c>
      <c r="B243" s="2" t="s">
        <v>171</v>
      </c>
    </row>
  </sheetData>
  <mergeCells count="2">
    <mergeCell ref="D13:D14"/>
    <mergeCell ref="E13:G13"/>
  </mergeCells>
  <pageMargins left="0.7" right="0.7" top="0.75" bottom="0.75" header="0.3" footer="0.3"/>
  <pageSetup paperSize="9" orientation="landscape"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8"/>
  <sheetViews>
    <sheetView topLeftCell="I1" zoomScale="85" zoomScaleNormal="85" workbookViewId="0">
      <selection activeCell="Z27" sqref="Z27"/>
    </sheetView>
  </sheetViews>
  <sheetFormatPr defaultRowHeight="16.5" x14ac:dyDescent="0.3"/>
  <cols>
    <col min="1" max="1" width="20.5703125" style="1" bestFit="1" customWidth="1"/>
    <col min="2" max="8" width="11.42578125" style="1" customWidth="1"/>
    <col min="9" max="11" width="11.42578125" style="28" customWidth="1"/>
    <col min="12" max="12" width="9.140625" style="1"/>
    <col min="13" max="13" width="24.85546875" style="1" bestFit="1" customWidth="1"/>
    <col min="14" max="14" width="10.5703125" style="1" bestFit="1" customWidth="1"/>
    <col min="15" max="15" width="11.5703125" style="1" bestFit="1" customWidth="1"/>
    <col min="16" max="16" width="10.5703125" style="1" bestFit="1" customWidth="1"/>
    <col min="17" max="17" width="11.5703125" style="1" bestFit="1" customWidth="1"/>
    <col min="18" max="18" width="10.5703125" style="1" bestFit="1" customWidth="1"/>
    <col min="19" max="19" width="18.42578125" style="1" bestFit="1" customWidth="1"/>
    <col min="20" max="20" width="9" style="1" bestFit="1" customWidth="1"/>
    <col min="21" max="21" width="24.85546875" style="1" bestFit="1" customWidth="1"/>
    <col min="22" max="22" width="10.5703125" style="1" bestFit="1" customWidth="1"/>
    <col min="23" max="23" width="11.5703125" style="1" bestFit="1" customWidth="1"/>
    <col min="24" max="24" width="10.5703125" style="1" bestFit="1" customWidth="1"/>
    <col min="25" max="25" width="11.5703125" style="1" bestFit="1" customWidth="1"/>
    <col min="26" max="26" width="10.5703125" style="1" bestFit="1" customWidth="1"/>
    <col min="27" max="28" width="9" style="1" bestFit="1" customWidth="1"/>
    <col min="29" max="29" width="18.42578125" style="1" bestFit="1" customWidth="1"/>
    <col min="30" max="30" width="10.5703125" style="1" bestFit="1" customWidth="1"/>
    <col min="31" max="32" width="9" style="1" bestFit="1" customWidth="1"/>
    <col min="33" max="33" width="18.42578125" style="1" bestFit="1" customWidth="1"/>
    <col min="34" max="16384" width="9.140625" style="1"/>
  </cols>
  <sheetData>
    <row r="1" spans="1:33" x14ac:dyDescent="0.3">
      <c r="A1" s="1" t="s">
        <v>564</v>
      </c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4"/>
      <c r="AE1" s="24"/>
      <c r="AF1" s="24"/>
      <c r="AG1" s="24"/>
    </row>
    <row r="2" spans="1:33" ht="33" x14ac:dyDescent="0.3">
      <c r="A2" s="22" t="s">
        <v>239</v>
      </c>
      <c r="B2" s="22" t="s">
        <v>208</v>
      </c>
      <c r="C2" s="22" t="s">
        <v>209</v>
      </c>
      <c r="D2" s="129" t="s">
        <v>331</v>
      </c>
      <c r="E2" s="22" t="s">
        <v>210</v>
      </c>
      <c r="F2" s="22" t="s">
        <v>211</v>
      </c>
      <c r="G2" s="22" t="s">
        <v>214</v>
      </c>
      <c r="H2" s="129" t="s">
        <v>304</v>
      </c>
      <c r="I2" s="22" t="s">
        <v>437</v>
      </c>
      <c r="J2" s="22" t="s">
        <v>438</v>
      </c>
      <c r="K2" s="22" t="s">
        <v>442</v>
      </c>
      <c r="L2" s="22" t="s">
        <v>584</v>
      </c>
      <c r="M2" s="22" t="s">
        <v>585</v>
      </c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33" x14ac:dyDescent="0.3">
      <c r="A3" s="22" t="s">
        <v>547</v>
      </c>
      <c r="B3" s="23">
        <v>10.3</v>
      </c>
      <c r="C3" s="23">
        <v>3.78</v>
      </c>
      <c r="D3" s="23">
        <v>3.78</v>
      </c>
      <c r="E3" s="23">
        <v>6.37</v>
      </c>
      <c r="F3" s="23">
        <v>3.18</v>
      </c>
      <c r="G3" s="23">
        <v>134.80000000000001</v>
      </c>
      <c r="H3" s="21">
        <v>0.92700000000000005</v>
      </c>
      <c r="I3" s="23">
        <v>3.42</v>
      </c>
      <c r="J3" s="23">
        <v>20</v>
      </c>
      <c r="K3" s="23">
        <v>27.3</v>
      </c>
      <c r="L3" s="23">
        <f>SQRT(стойки_МП40_ГХ[[#This Row],[Ix, см4]]/стойки_МП40_ГХ[[#This Row],[A, см2]])</f>
        <v>1.7354238405740394</v>
      </c>
      <c r="M3" s="23">
        <f>SQRT(стойки_МП40_ГХ[[#This Row],[Iy, см4]]/стойки_МП40_ГХ[[#This Row],[A, см2]])</f>
        <v>1.3647611876864043</v>
      </c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33" x14ac:dyDescent="0.3">
      <c r="A4" s="22" t="s">
        <v>549</v>
      </c>
      <c r="B4" s="23">
        <v>19.489999999999998</v>
      </c>
      <c r="C4" s="23">
        <v>5.55</v>
      </c>
      <c r="D4" s="23">
        <v>5.55</v>
      </c>
      <c r="E4" s="23">
        <v>7.83</v>
      </c>
      <c r="F4" s="23">
        <v>3.91</v>
      </c>
      <c r="G4" s="23">
        <v>134.80000000000001</v>
      </c>
      <c r="H4" s="21">
        <v>1.0329999999999999</v>
      </c>
      <c r="I4" s="23">
        <v>3.8130000000000002</v>
      </c>
      <c r="J4" s="23">
        <v>20</v>
      </c>
      <c r="K4" s="23">
        <v>35.1</v>
      </c>
      <c r="L4" s="23">
        <f>SQRT(стойки_МП40_ГХ[[#This Row],[Ix, см4]]/стойки_МП40_ГХ[[#This Row],[A, см2]])</f>
        <v>2.2608539961765053</v>
      </c>
      <c r="M4" s="23">
        <f>SQRT(стойки_МП40_ГХ[[#This Row],[Iy, см4]]/стойки_МП40_ГХ[[#This Row],[A, см2]])</f>
        <v>1.4330042498796338</v>
      </c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</row>
    <row r="5" spans="1:33" x14ac:dyDescent="0.3">
      <c r="A5" s="22" t="s">
        <v>550</v>
      </c>
      <c r="B5" s="23">
        <v>39.659999999999997</v>
      </c>
      <c r="C5" s="23">
        <v>9.07</v>
      </c>
      <c r="D5" s="23">
        <v>8.8699999999999992</v>
      </c>
      <c r="E5" s="23">
        <v>9.92</v>
      </c>
      <c r="F5" s="23">
        <v>4.96</v>
      </c>
      <c r="G5" s="23">
        <v>134.80000000000001</v>
      </c>
      <c r="H5" s="21">
        <v>1.2150000000000001</v>
      </c>
      <c r="I5" s="23">
        <v>4.4820000000000002</v>
      </c>
      <c r="J5" s="23">
        <v>20</v>
      </c>
      <c r="K5" s="23">
        <v>43.7</v>
      </c>
      <c r="L5" s="23">
        <f>SQRT(стойки_МП40_ГХ[[#This Row],[Ix, см4]]/стойки_МП40_ГХ[[#This Row],[A, см2]])</f>
        <v>2.9746812007875074</v>
      </c>
      <c r="M5" s="23">
        <f>SQRT(стойки_МП40_ГХ[[#This Row],[Iy, см4]]/стойки_МП40_ГХ[[#This Row],[A, см2]])</f>
        <v>1.4877155759702128</v>
      </c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</row>
    <row r="6" spans="1:33" x14ac:dyDescent="0.3">
      <c r="A6" s="22" t="s">
        <v>551</v>
      </c>
      <c r="B6" s="23">
        <v>67.27</v>
      </c>
      <c r="C6" s="23">
        <v>12.72</v>
      </c>
      <c r="D6" s="23">
        <v>12.15</v>
      </c>
      <c r="E6" s="23">
        <v>11.96</v>
      </c>
      <c r="F6" s="23">
        <v>5.98</v>
      </c>
      <c r="G6" s="23">
        <v>134.80000000000001</v>
      </c>
      <c r="H6" s="21">
        <v>1.3740000000000001</v>
      </c>
      <c r="I6" s="23">
        <v>5.07</v>
      </c>
      <c r="J6" s="23">
        <v>20</v>
      </c>
      <c r="K6" s="23">
        <v>52.9</v>
      </c>
      <c r="L6" s="23">
        <f>SQRT(стойки_МП40_ГХ[[#This Row],[Ix, см4]]/стойки_МП40_ГХ[[#This Row],[A, см2]])</f>
        <v>3.6425601677854109</v>
      </c>
      <c r="M6" s="23">
        <f>SQRT(стойки_МП40_ГХ[[#This Row],[Iy, см4]]/стойки_МП40_ГХ[[#This Row],[A, см2]])</f>
        <v>1.535895295576609</v>
      </c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</row>
    <row r="7" spans="1:33" x14ac:dyDescent="0.3">
      <c r="A7" s="22" t="s">
        <v>552</v>
      </c>
      <c r="B7" s="23">
        <v>80.86</v>
      </c>
      <c r="C7" s="23">
        <v>14.36</v>
      </c>
      <c r="D7" s="23">
        <v>13.57</v>
      </c>
      <c r="E7" s="23">
        <v>13.27</v>
      </c>
      <c r="F7" s="23">
        <v>6.63</v>
      </c>
      <c r="G7" s="23">
        <v>134.80000000000001</v>
      </c>
      <c r="H7" s="21">
        <v>1.4730000000000001</v>
      </c>
      <c r="I7" s="23">
        <v>5.4359999999999999</v>
      </c>
      <c r="J7" s="23">
        <v>20</v>
      </c>
      <c r="K7" s="23">
        <v>56.3</v>
      </c>
      <c r="L7" s="23">
        <f>SQRT(стойки_МП40_ГХ[[#This Row],[Ix, см4]]/стойки_МП40_ГХ[[#This Row],[A, см2]])</f>
        <v>3.8568002308394695</v>
      </c>
      <c r="M7" s="23">
        <f>SQRT(стойки_МП40_ГХ[[#This Row],[Iy, см4]]/стойки_МП40_ГХ[[#This Row],[A, см2]])</f>
        <v>1.5624126171297705</v>
      </c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</row>
    <row r="8" spans="1:33" x14ac:dyDescent="0.3">
      <c r="A8" s="22" t="s">
        <v>553</v>
      </c>
      <c r="B8" s="23">
        <v>100.55</v>
      </c>
      <c r="C8" s="23">
        <v>16.54</v>
      </c>
      <c r="D8" s="23">
        <v>15.45</v>
      </c>
      <c r="E8" s="23">
        <v>14.9</v>
      </c>
      <c r="F8" s="23">
        <v>7.45</v>
      </c>
      <c r="G8" s="23">
        <v>134.80000000000001</v>
      </c>
      <c r="H8" s="21">
        <v>1.597</v>
      </c>
      <c r="I8" s="23">
        <v>5.891</v>
      </c>
      <c r="J8" s="23">
        <v>20</v>
      </c>
      <c r="K8" s="23">
        <v>60.8</v>
      </c>
      <c r="L8" s="23">
        <f>SQRT(стойки_МП40_ГХ[[#This Row],[Ix, см4]]/стойки_МП40_ГХ[[#This Row],[A, см2]])</f>
        <v>4.1313931594712638</v>
      </c>
      <c r="M8" s="23">
        <f>SQRT(стойки_МП40_ГХ[[#This Row],[Iy, см4]]/стойки_МП40_ГХ[[#This Row],[A, см2]])</f>
        <v>1.5903716406945194</v>
      </c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</row>
    <row r="9" spans="1:33" x14ac:dyDescent="0.3">
      <c r="A9" s="22" t="s">
        <v>554</v>
      </c>
      <c r="B9" s="23">
        <v>122.17</v>
      </c>
      <c r="C9" s="23">
        <v>18.899999999999999</v>
      </c>
      <c r="D9" s="23">
        <v>17.510000000000002</v>
      </c>
      <c r="E9" s="23">
        <v>16.690000000000001</v>
      </c>
      <c r="F9" s="23">
        <v>8.35</v>
      </c>
      <c r="G9" s="23">
        <v>134.80000000000001</v>
      </c>
      <c r="H9" s="21">
        <v>1.7350000000000001</v>
      </c>
      <c r="I9" s="23">
        <v>6.4009999999999998</v>
      </c>
      <c r="J9" s="23">
        <v>20</v>
      </c>
      <c r="K9" s="23">
        <v>64.7</v>
      </c>
      <c r="L9" s="23">
        <f>SQRT(стойки_МП40_ГХ[[#This Row],[Ix, см4]]/стойки_МП40_ГХ[[#This Row],[A, см2]])</f>
        <v>4.3687618726537538</v>
      </c>
      <c r="M9" s="23">
        <f>SQRT(стойки_МП40_ГХ[[#This Row],[Iy, см4]]/стойки_МП40_ГХ[[#This Row],[A, см2]])</f>
        <v>1.6147461388571971</v>
      </c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</row>
    <row r="10" spans="1:33" x14ac:dyDescent="0.3">
      <c r="A10" s="22" t="s">
        <v>555</v>
      </c>
      <c r="B10" s="23"/>
      <c r="C10" s="23"/>
      <c r="D10" s="23"/>
      <c r="E10" s="23"/>
      <c r="F10" s="23"/>
      <c r="G10" s="23"/>
      <c r="H10" s="21"/>
      <c r="I10" s="23"/>
      <c r="J10" s="23"/>
      <c r="K10" s="23"/>
      <c r="L10" s="23"/>
      <c r="M10" s="23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</row>
    <row r="11" spans="1:33" x14ac:dyDescent="0.3">
      <c r="A11" s="22" t="s">
        <v>556</v>
      </c>
      <c r="B11" s="23">
        <v>16.53</v>
      </c>
      <c r="C11" s="23">
        <v>5.3070000000000004</v>
      </c>
      <c r="D11" s="23" t="s">
        <v>548</v>
      </c>
      <c r="E11" s="23">
        <v>9.4700000000000006</v>
      </c>
      <c r="F11" s="23">
        <v>4.74</v>
      </c>
      <c r="G11" s="23">
        <v>134.80000000000001</v>
      </c>
      <c r="H11" s="21">
        <v>1.8089999999999999</v>
      </c>
      <c r="I11" s="23">
        <v>6.6749999999999998</v>
      </c>
      <c r="J11" s="23">
        <v>20</v>
      </c>
      <c r="K11" s="23">
        <v>31.1</v>
      </c>
      <c r="L11" s="23">
        <f>SQRT(стойки_МП40_ГХ[[#This Row],[Ix, см4]]/стойки_МП40_ГХ[[#This Row],[A, см2]])</f>
        <v>1.5736595865631242</v>
      </c>
      <c r="M11" s="23">
        <f>SQRT(стойки_МП40_ГХ[[#This Row],[Iy, см4]]/стойки_МП40_ГХ[[#This Row],[A, см2]])</f>
        <v>1.1911030987115683</v>
      </c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33" x14ac:dyDescent="0.3">
      <c r="A12" s="22" t="s">
        <v>557</v>
      </c>
      <c r="B12" s="23">
        <v>33.274999999999999</v>
      </c>
      <c r="C12" s="23">
        <v>8.8360000000000003</v>
      </c>
      <c r="D12" s="23" t="s">
        <v>548</v>
      </c>
      <c r="E12" s="23">
        <v>11.555999999999999</v>
      </c>
      <c r="F12" s="23">
        <v>5.7779999999999996</v>
      </c>
      <c r="G12" s="23">
        <v>134.80000000000001</v>
      </c>
      <c r="H12" s="21">
        <v>2.0670000000000002</v>
      </c>
      <c r="I12" s="23">
        <v>7.6289999999999996</v>
      </c>
      <c r="J12" s="23">
        <v>20</v>
      </c>
      <c r="K12" s="23">
        <v>37.659999999999997</v>
      </c>
      <c r="L12" s="23">
        <f>SQRT(стойки_МП40_ГХ[[#This Row],[Ix, см4]]/стойки_МП40_ГХ[[#This Row],[A, см2]])</f>
        <v>2.0884554937695041</v>
      </c>
      <c r="M12" s="23">
        <f>SQRT(стойки_МП40_ГХ[[#This Row],[Iy, см4]]/стойки_МП40_ГХ[[#This Row],[A, см2]])</f>
        <v>1.2307503250309955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</row>
    <row r="13" spans="1:33" x14ac:dyDescent="0.3">
      <c r="A13" s="22" t="s">
        <v>558</v>
      </c>
      <c r="B13" s="23">
        <v>67.91</v>
      </c>
      <c r="C13" s="23">
        <v>14.52</v>
      </c>
      <c r="D13" s="23">
        <v>10.65</v>
      </c>
      <c r="E13" s="23">
        <v>14.43</v>
      </c>
      <c r="F13" s="23">
        <v>7.2140000000000004</v>
      </c>
      <c r="G13" s="23">
        <v>134.80000000000001</v>
      </c>
      <c r="H13" s="21">
        <v>2.44</v>
      </c>
      <c r="I13" s="23">
        <v>9.0020000000000007</v>
      </c>
      <c r="J13" s="23">
        <v>20</v>
      </c>
      <c r="K13" s="23">
        <v>39.479999999999997</v>
      </c>
      <c r="L13" s="23">
        <f>SQRT(стойки_МП40_ГХ[[#This Row],[Ix, см4]]/стойки_МП40_ГХ[[#This Row],[A, см2]])</f>
        <v>2.7466123020858513</v>
      </c>
      <c r="M13" s="23">
        <f>SQRT(стойки_МП40_ГХ[[#This Row],[Iy, см4]]/стойки_МП40_ГХ[[#This Row],[A, см2]])</f>
        <v>1.2660873256598064</v>
      </c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</row>
    <row r="14" spans="1:33" x14ac:dyDescent="0.3">
      <c r="A14" s="22" t="s">
        <v>559</v>
      </c>
      <c r="B14" s="23">
        <v>117.24</v>
      </c>
      <c r="C14" s="23">
        <v>21.056000000000001</v>
      </c>
      <c r="D14" s="23">
        <v>15.513999999999999</v>
      </c>
      <c r="E14" s="23">
        <v>17.25</v>
      </c>
      <c r="F14" s="23">
        <v>8.6199999999999992</v>
      </c>
      <c r="G14" s="23">
        <v>134.80000000000001</v>
      </c>
      <c r="H14" s="21">
        <v>2.7909999999999999</v>
      </c>
      <c r="I14" s="23">
        <v>10.298</v>
      </c>
      <c r="J14" s="23">
        <v>20</v>
      </c>
      <c r="K14" s="23">
        <v>55.68</v>
      </c>
      <c r="L14" s="23">
        <f>SQRT(стойки_МП40_ГХ[[#This Row],[Ix, см4]]/стойки_МП40_ГХ[[#This Row],[A, см2]])</f>
        <v>3.3741272797540667</v>
      </c>
      <c r="M14" s="23">
        <f>SQRT(стойки_МП40_ГХ[[#This Row],[Iy, см4]]/стойки_МП40_ГХ[[#This Row],[A, см2]])</f>
        <v>1.2942497982611731</v>
      </c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</row>
    <row r="15" spans="1:33" x14ac:dyDescent="0.3">
      <c r="A15" s="22" t="s">
        <v>560</v>
      </c>
      <c r="B15" s="23">
        <v>143.01499999999999</v>
      </c>
      <c r="C15" s="23">
        <v>24.125</v>
      </c>
      <c r="D15" s="23">
        <v>17.84</v>
      </c>
      <c r="E15" s="23">
        <v>19.126000000000001</v>
      </c>
      <c r="F15" s="23">
        <v>9.5630000000000006</v>
      </c>
      <c r="G15" s="23">
        <v>134.80000000000001</v>
      </c>
      <c r="H15" s="21">
        <v>3.0459999999999998</v>
      </c>
      <c r="I15" s="23">
        <v>11.241</v>
      </c>
      <c r="J15" s="23">
        <v>20</v>
      </c>
      <c r="K15" s="23">
        <v>59.28</v>
      </c>
      <c r="L15" s="23">
        <f>SQRT(стойки_МП40_ГХ[[#This Row],[Ix, см4]]/стойки_МП40_ГХ[[#This Row],[A, см2]])</f>
        <v>3.566878543275398</v>
      </c>
      <c r="M15" s="23">
        <f>SQRT(стойки_МП40_ГХ[[#This Row],[Iy, см4]]/стойки_МП40_ГХ[[#This Row],[A, см2]])</f>
        <v>1.3043964308936267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33" x14ac:dyDescent="0.3">
      <c r="A16" s="22" t="s">
        <v>561</v>
      </c>
      <c r="B16" s="23">
        <v>179.15</v>
      </c>
      <c r="C16" s="23">
        <v>28.1</v>
      </c>
      <c r="D16" s="23">
        <v>20.849</v>
      </c>
      <c r="E16" s="23">
        <v>21.187000000000001</v>
      </c>
      <c r="F16" s="23">
        <v>10.593999999999999</v>
      </c>
      <c r="G16" s="23">
        <v>134.80000000000001</v>
      </c>
      <c r="H16" s="21">
        <v>3.2770000000000001</v>
      </c>
      <c r="I16" s="23">
        <v>12.092000000000001</v>
      </c>
      <c r="J16" s="23">
        <v>20</v>
      </c>
      <c r="K16" s="23">
        <v>63.76</v>
      </c>
      <c r="L16" s="23">
        <f>SQRT(стойки_МП40_ГХ[[#This Row],[Ix, см4]]/стойки_МП40_ГХ[[#This Row],[A, см2]])</f>
        <v>3.8491012651167527</v>
      </c>
      <c r="M16" s="23">
        <f>SQRT(стойки_МП40_ГХ[[#This Row],[Iy, см4]]/стойки_МП40_ГХ[[#This Row],[A, см2]])</f>
        <v>1.3236880984350021</v>
      </c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1:29" x14ac:dyDescent="0.3">
      <c r="A17" s="22" t="s">
        <v>562</v>
      </c>
      <c r="B17" s="23">
        <v>217.453</v>
      </c>
      <c r="C17" s="23">
        <v>32.087000000000003</v>
      </c>
      <c r="D17" s="23">
        <v>23.864999999999998</v>
      </c>
      <c r="E17" s="23">
        <v>23.364000000000001</v>
      </c>
      <c r="F17" s="23">
        <v>11.682</v>
      </c>
      <c r="G17" s="23">
        <v>134.80000000000001</v>
      </c>
      <c r="H17" s="21">
        <v>3.51</v>
      </c>
      <c r="I17" s="23">
        <v>12.954000000000001</v>
      </c>
      <c r="J17" s="23">
        <v>20</v>
      </c>
      <c r="K17" s="23">
        <v>67.8</v>
      </c>
      <c r="L17" s="23">
        <f>SQRT(стойки_МП40_ГХ[[#This Row],[Ix, см4]]/стойки_МП40_ГХ[[#This Row],[A, см2]])</f>
        <v>4.0971395407335214</v>
      </c>
      <c r="M17" s="23">
        <f>SQRT(стойки_МП40_ГХ[[#This Row],[Iy, см4]]/стойки_МП40_ГХ[[#This Row],[A, см2]])</f>
        <v>1.3429865165727299</v>
      </c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</row>
    <row r="18" spans="1:29" x14ac:dyDescent="0.3">
      <c r="A18" s="22"/>
      <c r="B18" s="23"/>
      <c r="C18" s="23"/>
      <c r="D18" s="23"/>
      <c r="E18" s="23"/>
      <c r="F18" s="23"/>
      <c r="G18" s="23"/>
      <c r="H18" s="21"/>
      <c r="I18" s="21"/>
      <c r="J18" s="21"/>
      <c r="K18" s="21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</row>
    <row r="19" spans="1:29" x14ac:dyDescent="0.3">
      <c r="A19" s="22"/>
      <c r="B19" s="23"/>
      <c r="C19" s="23"/>
      <c r="D19" s="23"/>
      <c r="E19" s="23"/>
      <c r="F19" s="23"/>
      <c r="G19" s="23"/>
      <c r="H19" s="21"/>
      <c r="I19" s="21"/>
      <c r="J19" s="21"/>
      <c r="K19" s="21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</row>
    <row r="20" spans="1:29" x14ac:dyDescent="0.3">
      <c r="A20" s="22"/>
      <c r="B20" s="23"/>
      <c r="C20" s="23"/>
      <c r="D20" s="23"/>
      <c r="E20" s="23"/>
      <c r="F20" s="23"/>
      <c r="G20" s="23"/>
      <c r="H20" s="21"/>
      <c r="I20" s="21"/>
      <c r="J20" s="21"/>
      <c r="K20" s="21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</row>
    <row r="21" spans="1:29" x14ac:dyDescent="0.3">
      <c r="A21" s="22"/>
      <c r="B21" s="23"/>
      <c r="C21" s="23"/>
      <c r="D21" s="23"/>
      <c r="E21" s="23"/>
      <c r="F21" s="23"/>
      <c r="G21" s="23"/>
      <c r="H21" s="21"/>
      <c r="I21" s="21"/>
      <c r="J21" s="21"/>
      <c r="K21" s="124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</row>
    <row r="22" spans="1:29" x14ac:dyDescent="0.3">
      <c r="A22" s="22"/>
      <c r="B22" s="23"/>
      <c r="C22" s="23"/>
      <c r="D22" s="23"/>
      <c r="E22" s="23"/>
      <c r="F22" s="23"/>
      <c r="G22" s="23"/>
      <c r="H22" s="21"/>
      <c r="I22" s="21"/>
      <c r="J22" s="124"/>
      <c r="K22" s="124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 x14ac:dyDescent="0.3">
      <c r="A23" s="28" t="s">
        <v>563</v>
      </c>
      <c r="B23" s="28"/>
      <c r="C23" s="28"/>
      <c r="D23" s="28"/>
      <c r="E23" s="28"/>
      <c r="F23" s="28"/>
      <c r="G23" s="28"/>
      <c r="H23" s="28"/>
      <c r="M23" s="24" t="s">
        <v>581</v>
      </c>
      <c r="N23" s="24"/>
      <c r="O23" s="24"/>
      <c r="P23" s="24"/>
      <c r="Q23" s="24"/>
      <c r="R23" s="24"/>
      <c r="S23" s="24"/>
      <c r="T23" s="24"/>
      <c r="U23" s="24" t="s">
        <v>582</v>
      </c>
      <c r="V23" s="24"/>
      <c r="Y23" s="24"/>
      <c r="Z23" s="24"/>
      <c r="AA23" s="24"/>
      <c r="AB23" s="24"/>
      <c r="AC23" s="24"/>
    </row>
    <row r="24" spans="1:29" ht="33" x14ac:dyDescent="0.3">
      <c r="A24" s="22" t="s">
        <v>239</v>
      </c>
      <c r="B24" s="22" t="s">
        <v>208</v>
      </c>
      <c r="C24" s="22" t="s">
        <v>209</v>
      </c>
      <c r="D24" s="129" t="s">
        <v>331</v>
      </c>
      <c r="E24" s="22" t="s">
        <v>210</v>
      </c>
      <c r="F24" s="22" t="s">
        <v>211</v>
      </c>
      <c r="G24" s="22" t="s">
        <v>214</v>
      </c>
      <c r="H24" s="129" t="s">
        <v>304</v>
      </c>
      <c r="I24" s="22" t="s">
        <v>437</v>
      </c>
      <c r="J24" s="22" t="s">
        <v>438</v>
      </c>
      <c r="K24" s="22" t="s">
        <v>442</v>
      </c>
      <c r="M24" s="24" t="s">
        <v>239</v>
      </c>
      <c r="N24" s="24" t="s">
        <v>208</v>
      </c>
      <c r="O24" s="24" t="s">
        <v>209</v>
      </c>
      <c r="P24" s="24" t="s">
        <v>210</v>
      </c>
      <c r="Q24" s="24" t="s">
        <v>211</v>
      </c>
      <c r="R24" s="24" t="s">
        <v>214</v>
      </c>
      <c r="S24" s="24" t="s">
        <v>304</v>
      </c>
      <c r="U24" s="24" t="s">
        <v>239</v>
      </c>
      <c r="V24" s="24" t="s">
        <v>208</v>
      </c>
      <c r="W24" s="24" t="s">
        <v>209</v>
      </c>
      <c r="X24" s="24" t="s">
        <v>210</v>
      </c>
      <c r="Y24" s="24" t="s">
        <v>211</v>
      </c>
      <c r="Z24" s="24" t="s">
        <v>214</v>
      </c>
      <c r="AA24" s="24" t="s">
        <v>212</v>
      </c>
      <c r="AB24" s="24" t="s">
        <v>213</v>
      </c>
      <c r="AC24" s="24" t="s">
        <v>304</v>
      </c>
    </row>
    <row r="25" spans="1:29" x14ac:dyDescent="0.3">
      <c r="A25" s="28" t="s">
        <v>565</v>
      </c>
      <c r="B25" s="23">
        <v>22.88</v>
      </c>
      <c r="C25" s="23">
        <v>6.76</v>
      </c>
      <c r="D25" s="23">
        <v>6.76</v>
      </c>
      <c r="E25" s="23">
        <v>15.16</v>
      </c>
      <c r="F25" s="23">
        <v>6.06</v>
      </c>
      <c r="G25" s="23">
        <v>134.80000000000001</v>
      </c>
      <c r="H25" s="21">
        <v>1.329</v>
      </c>
      <c r="I25" s="23">
        <v>4.9029999999999996</v>
      </c>
      <c r="J25" s="23">
        <f>SQRT(стойки_МП50_ГХ[[#This Row],[Ix, см4]]/стойки_МП50_ГХ[[#This Row],[A, см2]])</f>
        <v>2.1602154280285464</v>
      </c>
      <c r="K25" s="23">
        <f>SQRT(стойки_МП50_ГХ[[#This Row],[Iy, см4]]/стойки_МП50_ГХ[[#This Row],[A, см2]])</f>
        <v>1.7584039636233058</v>
      </c>
      <c r="M25" s="22" t="s">
        <v>565</v>
      </c>
      <c r="N25" s="23">
        <v>22.88</v>
      </c>
      <c r="O25" s="23">
        <v>6.76</v>
      </c>
      <c r="P25" s="23">
        <v>15.16</v>
      </c>
      <c r="Q25" s="23">
        <v>6.06</v>
      </c>
      <c r="R25" s="23">
        <v>134.80000000000001</v>
      </c>
      <c r="S25" s="21">
        <v>1.329</v>
      </c>
      <c r="U25" s="22" t="s">
        <v>565</v>
      </c>
      <c r="V25" s="23">
        <v>22.88</v>
      </c>
      <c r="W25" s="23">
        <v>6.76</v>
      </c>
      <c r="X25" s="23">
        <v>15.16</v>
      </c>
      <c r="Y25" s="23">
        <v>6.06</v>
      </c>
      <c r="Z25" s="23">
        <v>134.80000000000001</v>
      </c>
      <c r="AA25" s="23">
        <v>25</v>
      </c>
      <c r="AB25" s="23">
        <v>33.799999999999997</v>
      </c>
      <c r="AC25" s="21">
        <v>1.329</v>
      </c>
    </row>
    <row r="26" spans="1:29" x14ac:dyDescent="0.3">
      <c r="A26" s="28" t="s">
        <v>566</v>
      </c>
      <c r="B26" s="23">
        <v>20.6</v>
      </c>
      <c r="C26" s="23">
        <v>6.02</v>
      </c>
      <c r="D26" s="23">
        <v>6.01</v>
      </c>
      <c r="E26" s="23">
        <v>12.69</v>
      </c>
      <c r="F26" s="23">
        <v>5.08</v>
      </c>
      <c r="G26" s="23">
        <v>134.80000000000001</v>
      </c>
      <c r="H26" s="21">
        <v>1.151</v>
      </c>
      <c r="I26" s="23">
        <v>4.2460000000000004</v>
      </c>
      <c r="J26" s="23">
        <f>SQRT(стойки_МП50_ГХ[[#This Row],[Ix, см4]]/стойки_МП50_ГХ[[#This Row],[A, см2]])</f>
        <v>2.2026404742669525</v>
      </c>
      <c r="K26" s="23">
        <f>SQRT(стойки_МП50_ГХ[[#This Row],[Iy, см4]]/стойки_МП50_ГХ[[#This Row],[A, см2]])</f>
        <v>1.7287843250623405</v>
      </c>
      <c r="M26" s="22" t="s">
        <v>566</v>
      </c>
      <c r="N26" s="23">
        <v>20.6</v>
      </c>
      <c r="O26" s="23">
        <v>6.02</v>
      </c>
      <c r="P26" s="23">
        <v>12.69</v>
      </c>
      <c r="Q26" s="23">
        <v>5.08</v>
      </c>
      <c r="R26" s="23">
        <v>134.80000000000001</v>
      </c>
      <c r="S26" s="21">
        <v>1.151</v>
      </c>
      <c r="U26" s="22" t="s">
        <v>566</v>
      </c>
      <c r="V26" s="23">
        <v>20.6</v>
      </c>
      <c r="W26" s="23">
        <v>6.02</v>
      </c>
      <c r="X26" s="23">
        <v>12.69</v>
      </c>
      <c r="Y26" s="23">
        <v>5.08</v>
      </c>
      <c r="Z26" s="23">
        <v>134.80000000000001</v>
      </c>
      <c r="AA26" s="23">
        <v>25</v>
      </c>
      <c r="AB26" s="23">
        <v>34.200000000000003</v>
      </c>
      <c r="AC26" s="21">
        <v>1.151</v>
      </c>
    </row>
    <row r="27" spans="1:29" x14ac:dyDescent="0.3">
      <c r="A27" s="28" t="s">
        <v>567</v>
      </c>
      <c r="B27" s="23">
        <v>80.64</v>
      </c>
      <c r="C27" s="23">
        <v>15.22</v>
      </c>
      <c r="D27" s="23">
        <v>15.22</v>
      </c>
      <c r="E27" s="23">
        <v>23.04</v>
      </c>
      <c r="F27" s="23">
        <v>9.2100000000000009</v>
      </c>
      <c r="G27" s="23">
        <v>122.26</v>
      </c>
      <c r="H27" s="21">
        <v>1.8680000000000001</v>
      </c>
      <c r="I27" s="23">
        <v>6.9</v>
      </c>
      <c r="J27" s="23">
        <f>SQRT(стойки_МП50_ГХ[[#This Row],[Ix, см4]]/стойки_МП50_ГХ[[#This Row],[A, см2]])</f>
        <v>3.4186190957372147</v>
      </c>
      <c r="K27" s="23">
        <f>SQRT(стойки_МП50_ГХ[[#This Row],[Iy, см4]]/стойки_МП50_ГХ[[#This Row],[A, см2]])</f>
        <v>1.8273287703045142</v>
      </c>
      <c r="M27" s="22" t="s">
        <v>567</v>
      </c>
      <c r="N27" s="23">
        <v>80.64</v>
      </c>
      <c r="O27" s="23">
        <v>15.22</v>
      </c>
      <c r="P27" s="23">
        <v>23.04</v>
      </c>
      <c r="Q27" s="23">
        <v>9.2100000000000009</v>
      </c>
      <c r="R27" s="23">
        <v>122.26</v>
      </c>
      <c r="S27" s="21">
        <v>1.8680000000000001</v>
      </c>
      <c r="U27" s="22" t="s">
        <v>567</v>
      </c>
      <c r="V27" s="23">
        <v>80.64</v>
      </c>
      <c r="W27" s="23">
        <v>15.22</v>
      </c>
      <c r="X27" s="23">
        <v>23.04</v>
      </c>
      <c r="Y27" s="23">
        <v>9.2100000000000009</v>
      </c>
      <c r="Z27" s="23">
        <v>122.26</v>
      </c>
      <c r="AA27" s="23">
        <v>25</v>
      </c>
      <c r="AB27" s="23">
        <v>53</v>
      </c>
      <c r="AC27" s="21">
        <v>1.8680000000000001</v>
      </c>
    </row>
    <row r="28" spans="1:29" x14ac:dyDescent="0.3">
      <c r="A28" s="28" t="s">
        <v>568</v>
      </c>
      <c r="B28" s="23">
        <v>68.5</v>
      </c>
      <c r="C28" s="23">
        <v>13.68</v>
      </c>
      <c r="D28" s="23">
        <v>13.68</v>
      </c>
      <c r="E28" s="23">
        <v>20.29</v>
      </c>
      <c r="F28" s="23">
        <v>8.1199999999999992</v>
      </c>
      <c r="G28" s="23">
        <v>122.26</v>
      </c>
      <c r="H28" s="21">
        <v>1.6240000000000001</v>
      </c>
      <c r="I28" s="23">
        <v>5.9909999999999997</v>
      </c>
      <c r="J28" s="23">
        <f>SQRT(стойки_МП50_ГХ[[#This Row],[Ix, см4]]/стойки_МП50_ГХ[[#This Row],[A, см2]])</f>
        <v>3.3813928184633917</v>
      </c>
      <c r="K28" s="23">
        <f>SQRT(стойки_МП50_ГХ[[#This Row],[Iy, см4]]/стойки_МП50_ГХ[[#This Row],[A, см2]])</f>
        <v>1.8403116004761089</v>
      </c>
      <c r="M28" s="22" t="s">
        <v>580</v>
      </c>
      <c r="N28" s="23">
        <v>8.25</v>
      </c>
      <c r="O28" s="23">
        <v>3.23</v>
      </c>
      <c r="P28" s="23">
        <v>10.79</v>
      </c>
      <c r="Q28" s="23">
        <v>4.32</v>
      </c>
      <c r="R28" s="23">
        <v>122.26</v>
      </c>
      <c r="S28" s="21">
        <v>1.1240000000000001</v>
      </c>
      <c r="U28" s="22" t="s">
        <v>580</v>
      </c>
      <c r="V28" s="23">
        <v>8.25</v>
      </c>
      <c r="W28" s="23">
        <v>3.23</v>
      </c>
      <c r="X28" s="23">
        <v>10.79</v>
      </c>
      <c r="Y28" s="23">
        <v>4.32</v>
      </c>
      <c r="Z28" s="23">
        <v>122.26</v>
      </c>
      <c r="AA28" s="23">
        <v>25</v>
      </c>
      <c r="AB28" s="23">
        <v>25.5</v>
      </c>
      <c r="AC28" s="21">
        <v>1.1240000000000001</v>
      </c>
    </row>
    <row r="29" spans="1:29" x14ac:dyDescent="0.3">
      <c r="A29" s="28" t="s">
        <v>569</v>
      </c>
      <c r="B29" s="23">
        <v>63.25</v>
      </c>
      <c r="C29" s="23">
        <v>12.86</v>
      </c>
      <c r="D29" s="23">
        <v>12.86</v>
      </c>
      <c r="E29" s="23">
        <v>18.47</v>
      </c>
      <c r="F29" s="23">
        <v>7.39</v>
      </c>
      <c r="G29" s="23">
        <v>122.26</v>
      </c>
      <c r="H29" s="21">
        <v>1.4810000000000001</v>
      </c>
      <c r="I29" s="23">
        <v>5.4640000000000004</v>
      </c>
      <c r="J29" s="23">
        <f>SQRT(стойки_МП50_ГХ[[#This Row],[Ix, см4]]/стойки_МП50_ГХ[[#This Row],[A, см2]])</f>
        <v>3.4023181314572497</v>
      </c>
      <c r="K29" s="23">
        <f>SQRT(стойки_МП50_ГХ[[#This Row],[Iy, см4]]/стойки_МП50_ГХ[[#This Row],[A, см2]])</f>
        <v>1.8385612491992485</v>
      </c>
      <c r="M29" s="22" t="s">
        <v>568</v>
      </c>
      <c r="N29" s="23">
        <v>68.5</v>
      </c>
      <c r="O29" s="23">
        <v>13.68</v>
      </c>
      <c r="P29" s="23">
        <v>20.29</v>
      </c>
      <c r="Q29" s="23">
        <v>8.1199999999999992</v>
      </c>
      <c r="R29" s="23">
        <v>122.26</v>
      </c>
      <c r="S29" s="21">
        <v>1.6240000000000001</v>
      </c>
      <c r="U29" s="22" t="s">
        <v>568</v>
      </c>
      <c r="V29" s="23">
        <v>68.5</v>
      </c>
      <c r="W29" s="23">
        <v>13.68</v>
      </c>
      <c r="X29" s="23">
        <v>20.29</v>
      </c>
      <c r="Y29" s="23">
        <v>8.1199999999999992</v>
      </c>
      <c r="Z29" s="23">
        <v>122.26</v>
      </c>
      <c r="AA29" s="23">
        <v>25</v>
      </c>
      <c r="AB29" s="23">
        <v>50.1</v>
      </c>
      <c r="AC29" s="21">
        <v>1.6240000000000001</v>
      </c>
    </row>
    <row r="30" spans="1:29" x14ac:dyDescent="0.3">
      <c r="A30" s="28" t="s">
        <v>570</v>
      </c>
      <c r="B30" s="23">
        <v>137.1</v>
      </c>
      <c r="C30" s="23">
        <v>21.5</v>
      </c>
      <c r="D30" s="23">
        <v>21.5</v>
      </c>
      <c r="E30" s="23">
        <v>27.81</v>
      </c>
      <c r="F30" s="23">
        <v>11.12</v>
      </c>
      <c r="G30" s="23">
        <v>122.26</v>
      </c>
      <c r="H30" s="21">
        <v>2.093</v>
      </c>
      <c r="I30" s="23">
        <v>7.7240000000000002</v>
      </c>
      <c r="J30" s="23">
        <f>SQRT(стойки_МП50_ГХ[[#This Row],[Ix, см4]]/стойки_МП50_ГХ[[#This Row],[A, см2]])</f>
        <v>4.2130595217018216</v>
      </c>
      <c r="K30" s="23">
        <f>SQRT(стойки_МП50_ГХ[[#This Row],[Iy, см4]]/стойки_МП50_ГХ[[#This Row],[A, см2]])</f>
        <v>1.8974894149247379</v>
      </c>
      <c r="M30" s="22" t="s">
        <v>569</v>
      </c>
      <c r="N30" s="23">
        <v>63.25</v>
      </c>
      <c r="O30" s="23">
        <v>12.86</v>
      </c>
      <c r="P30" s="23">
        <v>18.47</v>
      </c>
      <c r="Q30" s="23">
        <v>7.39</v>
      </c>
      <c r="R30" s="23">
        <v>122.26</v>
      </c>
      <c r="S30" s="21">
        <v>1.4810000000000001</v>
      </c>
      <c r="U30" s="22" t="s">
        <v>569</v>
      </c>
      <c r="V30" s="23">
        <v>63.25</v>
      </c>
      <c r="W30" s="23">
        <v>12.86</v>
      </c>
      <c r="X30" s="23">
        <v>18.47</v>
      </c>
      <c r="Y30" s="23">
        <v>7.39</v>
      </c>
      <c r="Z30" s="23">
        <v>122.26</v>
      </c>
      <c r="AA30" s="23">
        <v>25</v>
      </c>
      <c r="AB30" s="23">
        <v>49.2</v>
      </c>
      <c r="AC30" s="21">
        <v>1.4810000000000001</v>
      </c>
    </row>
    <row r="31" spans="1:29" x14ac:dyDescent="0.3">
      <c r="A31" s="28" t="s">
        <v>571</v>
      </c>
      <c r="B31" s="23">
        <v>120.23</v>
      </c>
      <c r="C31" s="23">
        <v>20.07</v>
      </c>
      <c r="D31" s="23">
        <v>20.07</v>
      </c>
      <c r="E31" s="23">
        <v>25.29</v>
      </c>
      <c r="F31" s="23">
        <v>10.11</v>
      </c>
      <c r="G31" s="23">
        <v>122.26</v>
      </c>
      <c r="H31" s="21">
        <v>1.8680000000000001</v>
      </c>
      <c r="I31" s="23">
        <v>6.8929999999999998</v>
      </c>
      <c r="J31" s="23">
        <f>SQRT(стойки_МП50_ГХ[[#This Row],[Ix, см4]]/стойки_МП50_ГХ[[#This Row],[A, см2]])</f>
        <v>4.1764018965363858</v>
      </c>
      <c r="K31" s="23">
        <f>SQRT(стойки_МП50_ГХ[[#This Row],[Iy, см4]]/стойки_МП50_ГХ[[#This Row],[A, см2]])</f>
        <v>1.9154475988250057</v>
      </c>
      <c r="M31" s="22" t="s">
        <v>570</v>
      </c>
      <c r="N31" s="23">
        <v>137.1</v>
      </c>
      <c r="O31" s="23">
        <v>21.5</v>
      </c>
      <c r="P31" s="23">
        <v>27.81</v>
      </c>
      <c r="Q31" s="23">
        <v>11.12</v>
      </c>
      <c r="R31" s="23">
        <v>122.26</v>
      </c>
      <c r="S31" s="21">
        <v>2.093</v>
      </c>
      <c r="U31" s="22" t="s">
        <v>570</v>
      </c>
      <c r="V31" s="23">
        <v>137.1</v>
      </c>
      <c r="W31" s="23">
        <v>21.5</v>
      </c>
      <c r="X31" s="23">
        <v>27.81</v>
      </c>
      <c r="Y31" s="23">
        <v>11.12</v>
      </c>
      <c r="Z31" s="23">
        <v>122.26</v>
      </c>
      <c r="AA31" s="23">
        <v>25</v>
      </c>
      <c r="AB31" s="23">
        <v>63.8</v>
      </c>
      <c r="AC31" s="21">
        <v>2.093</v>
      </c>
    </row>
    <row r="32" spans="1:29" x14ac:dyDescent="0.3">
      <c r="A32" s="22" t="s">
        <v>572</v>
      </c>
      <c r="B32" s="23">
        <v>91.13</v>
      </c>
      <c r="C32" s="23">
        <v>16.57</v>
      </c>
      <c r="D32" s="23">
        <v>16.57</v>
      </c>
      <c r="E32" s="23">
        <v>84.92</v>
      </c>
      <c r="F32" s="23">
        <v>15.66</v>
      </c>
      <c r="G32" s="23">
        <v>122.26</v>
      </c>
      <c r="H32" s="21">
        <v>2.5499999999999998</v>
      </c>
      <c r="I32" s="23">
        <v>9.41</v>
      </c>
      <c r="J32" s="23">
        <f>SQRT(стойки_МП50_ГХ[[#This Row],[Ix, см4]]/стойки_МП50_ГХ[[#This Row],[A, см2]])</f>
        <v>3.1119733804991285</v>
      </c>
      <c r="K32" s="23">
        <f>SQRT(стойки_МП50_ГХ[[#This Row],[Iy, см4]]/стойки_МП50_ГХ[[#This Row],[A, см2]])</f>
        <v>3.0040709184189613</v>
      </c>
      <c r="M32" s="22" t="s">
        <v>571</v>
      </c>
      <c r="N32" s="23">
        <v>120.23</v>
      </c>
      <c r="O32" s="23">
        <v>20.07</v>
      </c>
      <c r="P32" s="23">
        <v>25.29</v>
      </c>
      <c r="Q32" s="23">
        <v>10.11</v>
      </c>
      <c r="R32" s="23">
        <v>122.26</v>
      </c>
      <c r="S32" s="21">
        <v>1.8680000000000001</v>
      </c>
      <c r="U32" s="22" t="s">
        <v>571</v>
      </c>
      <c r="V32" s="23">
        <v>120.23</v>
      </c>
      <c r="W32" s="23">
        <v>20.07</v>
      </c>
      <c r="X32" s="23">
        <v>25.29</v>
      </c>
      <c r="Y32" s="23">
        <v>10.11</v>
      </c>
      <c r="Z32" s="23">
        <v>122.26</v>
      </c>
      <c r="AA32" s="23">
        <v>25</v>
      </c>
      <c r="AB32" s="23">
        <v>59.9</v>
      </c>
      <c r="AC32" s="21">
        <v>1.8680000000000001</v>
      </c>
    </row>
    <row r="33" spans="1:29" x14ac:dyDescent="0.3">
      <c r="A33" s="22" t="s">
        <v>555</v>
      </c>
      <c r="B33" s="23"/>
      <c r="C33" s="23"/>
      <c r="D33" s="23"/>
      <c r="E33" s="23"/>
      <c r="F33" s="23"/>
      <c r="G33" s="23"/>
      <c r="H33" s="21"/>
      <c r="I33" s="23"/>
      <c r="J33" s="23"/>
      <c r="K33" s="23"/>
      <c r="M33"/>
      <c r="N33"/>
      <c r="O33"/>
      <c r="P33"/>
      <c r="Q33"/>
      <c r="R33"/>
      <c r="S33"/>
      <c r="U33"/>
      <c r="V33"/>
      <c r="W33"/>
      <c r="X33"/>
      <c r="Y33"/>
      <c r="Z33"/>
      <c r="AA33"/>
      <c r="AB33"/>
      <c r="AC33"/>
    </row>
    <row r="34" spans="1:29" x14ac:dyDescent="0.3">
      <c r="A34" s="28" t="s">
        <v>573</v>
      </c>
      <c r="B34" s="23">
        <v>42.412999999999997</v>
      </c>
      <c r="C34" s="23">
        <v>10.911</v>
      </c>
      <c r="D34" s="23">
        <v>10.911</v>
      </c>
      <c r="E34" s="23">
        <v>22.42</v>
      </c>
      <c r="F34" s="23">
        <v>8.9280000000000008</v>
      </c>
      <c r="G34" s="23">
        <v>134.80000000000001</v>
      </c>
      <c r="H34" s="21">
        <v>3.04</v>
      </c>
      <c r="I34" s="23">
        <v>11.218999999999999</v>
      </c>
      <c r="J34" s="23">
        <f>SQRT(стойки_МП50_ГХ[[#This Row],[Ix, см4]]/стойки_МП50_ГХ[[#This Row],[A, см2]])</f>
        <v>1.9443409466270432</v>
      </c>
      <c r="K34" s="23">
        <f>SQRT(стойки_МП50_ГХ[[#This Row],[Iy, см4]]/стойки_МП50_ГХ[[#This Row],[A, см2]])</f>
        <v>1.4136462000545269</v>
      </c>
      <c r="M34"/>
      <c r="N34"/>
      <c r="O34"/>
      <c r="P34"/>
      <c r="Q34"/>
      <c r="R34"/>
      <c r="S34"/>
      <c r="U34"/>
      <c r="V34"/>
      <c r="W34"/>
      <c r="X34"/>
      <c r="Y34"/>
      <c r="Z34"/>
      <c r="AA34"/>
      <c r="AB34"/>
      <c r="AC34"/>
    </row>
    <row r="35" spans="1:29" x14ac:dyDescent="0.3">
      <c r="A35" s="28" t="s">
        <v>574</v>
      </c>
      <c r="B35" s="23">
        <v>40.406999999999996</v>
      </c>
      <c r="C35" s="23">
        <v>10.413</v>
      </c>
      <c r="D35" s="23">
        <v>10.413</v>
      </c>
      <c r="E35" s="23">
        <v>19.952000000000002</v>
      </c>
      <c r="F35" s="23">
        <v>7.9729999999999999</v>
      </c>
      <c r="G35" s="23">
        <v>134.80000000000001</v>
      </c>
      <c r="H35" s="21">
        <v>2.8620000000000001</v>
      </c>
      <c r="I35" s="23">
        <v>10.582000000000001</v>
      </c>
      <c r="J35" s="23">
        <f>SQRT(стойки_МП50_ГХ[[#This Row],[Ix, см4]]/стойки_МП50_ГХ[[#This Row],[A, см2]])</f>
        <v>1.954089383438055</v>
      </c>
      <c r="K35" s="23">
        <f>SQRT(стойки_МП50_ГХ[[#This Row],[Iy, см4]]/стойки_МП50_ГХ[[#This Row],[A, см2]])</f>
        <v>1.3731226767721394</v>
      </c>
      <c r="M35"/>
      <c r="N35"/>
      <c r="O35"/>
      <c r="P35"/>
      <c r="Q35"/>
      <c r="R35"/>
      <c r="S35"/>
      <c r="U35"/>
      <c r="V35"/>
      <c r="W35"/>
      <c r="X35"/>
      <c r="Y35"/>
      <c r="Z35"/>
      <c r="AA35"/>
      <c r="AB35"/>
      <c r="AC35"/>
    </row>
    <row r="36" spans="1:29" x14ac:dyDescent="0.3">
      <c r="A36" s="28" t="s">
        <v>575</v>
      </c>
      <c r="B36" s="23">
        <v>120.59699999999999</v>
      </c>
      <c r="C36" s="23">
        <v>21.753</v>
      </c>
      <c r="D36" s="23">
        <v>21.753</v>
      </c>
      <c r="E36" s="23">
        <v>33.404000000000003</v>
      </c>
      <c r="F36" s="23">
        <v>13.362</v>
      </c>
      <c r="G36" s="23">
        <v>122.26</v>
      </c>
      <c r="H36" s="21">
        <v>3.5609999999999999</v>
      </c>
      <c r="I36" s="23">
        <v>13.141</v>
      </c>
      <c r="J36" s="23">
        <f>SQRT(стойки_МП50_ГХ[[#This Row],[Ix, см4]]/стойки_МП50_ГХ[[#This Row],[A, см2]])</f>
        <v>3.0293820273482224</v>
      </c>
      <c r="K36" s="23">
        <f>SQRT(стойки_МП50_ГХ[[#This Row],[Iy, см4]]/стойки_МП50_ГХ[[#This Row],[A, см2]])</f>
        <v>1.5943550065047021</v>
      </c>
      <c r="M36"/>
      <c r="N36"/>
      <c r="O36"/>
      <c r="P36"/>
      <c r="Q36"/>
      <c r="R36"/>
      <c r="S36"/>
      <c r="U36"/>
      <c r="V36"/>
      <c r="W36"/>
      <c r="X36"/>
      <c r="Y36"/>
      <c r="Z36"/>
      <c r="AA36"/>
      <c r="AB36"/>
      <c r="AC36"/>
    </row>
    <row r="37" spans="1:29" x14ac:dyDescent="0.3">
      <c r="A37" s="28" t="s">
        <v>576</v>
      </c>
      <c r="B37" s="23">
        <v>109.36499999999999</v>
      </c>
      <c r="C37" s="23">
        <v>20.189</v>
      </c>
      <c r="D37" s="23">
        <v>20.189</v>
      </c>
      <c r="E37" s="23">
        <v>30.658999999999999</v>
      </c>
      <c r="F37" s="23">
        <v>12.263</v>
      </c>
      <c r="G37" s="23">
        <v>122.26</v>
      </c>
      <c r="H37" s="21">
        <v>3.3149999999999999</v>
      </c>
      <c r="I37" s="23">
        <v>12.231</v>
      </c>
      <c r="J37" s="23">
        <f>SQRT(стойки_МП50_ГХ[[#This Row],[Ix, см4]]/стойки_МП50_ГХ[[#This Row],[A, см2]])</f>
        <v>2.9902547956567593</v>
      </c>
      <c r="K37" s="23">
        <f>SQRT(стойки_МП50_ГХ[[#This Row],[Iy, см4]]/стойки_МП50_ГХ[[#This Row],[A, см2]])</f>
        <v>1.583244578796378</v>
      </c>
      <c r="M37"/>
      <c r="N37"/>
      <c r="O37"/>
      <c r="P37"/>
      <c r="Q37"/>
      <c r="R37"/>
      <c r="S37"/>
      <c r="U37"/>
      <c r="V37"/>
      <c r="W37"/>
      <c r="X37"/>
      <c r="Y37"/>
      <c r="Z37"/>
      <c r="AA37"/>
      <c r="AB37"/>
      <c r="AC37"/>
    </row>
    <row r="38" spans="1:29" x14ac:dyDescent="0.3">
      <c r="A38" s="28" t="s">
        <v>577</v>
      </c>
      <c r="B38" s="23">
        <v>104.345</v>
      </c>
      <c r="C38" s="23">
        <v>19.338999999999999</v>
      </c>
      <c r="D38" s="23">
        <v>19.338999999999999</v>
      </c>
      <c r="E38" s="23">
        <v>28.837</v>
      </c>
      <c r="F38" s="23">
        <v>11.535</v>
      </c>
      <c r="G38" s="23">
        <v>122.26</v>
      </c>
      <c r="H38" s="21">
        <v>3.1720000000000002</v>
      </c>
      <c r="I38" s="23">
        <v>11.704000000000001</v>
      </c>
      <c r="J38" s="23">
        <f>SQRT(стойки_МП50_ГХ[[#This Row],[Ix, см4]]/стойки_МП50_ГХ[[#This Row],[A, см2]])</f>
        <v>2.9858546670860706</v>
      </c>
      <c r="K38" s="23">
        <f>SQRT(стойки_МП50_ГХ[[#This Row],[Iy, см4]]/стойки_МП50_ГХ[[#This Row],[A, см2]])</f>
        <v>1.5696682802143711</v>
      </c>
      <c r="M38"/>
      <c r="N38"/>
      <c r="O38"/>
      <c r="P38"/>
      <c r="Q38"/>
      <c r="R38"/>
      <c r="S38"/>
      <c r="U38"/>
      <c r="V38"/>
      <c r="W38"/>
      <c r="X38"/>
      <c r="Y38"/>
      <c r="Z38"/>
      <c r="AA38"/>
      <c r="AB38"/>
      <c r="AC38"/>
    </row>
    <row r="39" spans="1:29" x14ac:dyDescent="0.3">
      <c r="A39" s="28" t="s">
        <v>578</v>
      </c>
      <c r="B39" s="23">
        <v>213.50800000000001</v>
      </c>
      <c r="C39" s="23">
        <v>32.228000000000002</v>
      </c>
      <c r="D39" s="23">
        <v>32.228000000000002</v>
      </c>
      <c r="E39" s="23">
        <v>40.348999999999997</v>
      </c>
      <c r="F39" s="23">
        <v>16.138999999999999</v>
      </c>
      <c r="G39" s="23">
        <v>122.26</v>
      </c>
      <c r="H39" s="21">
        <v>4.1529999999999996</v>
      </c>
      <c r="I39" s="23">
        <v>15.324</v>
      </c>
      <c r="J39" s="23">
        <f>SQRT(стойки_МП50_ГХ[[#This Row],[Ix, см4]]/стойки_МП50_ГХ[[#This Row],[A, см2]])</f>
        <v>3.7326821037706885</v>
      </c>
      <c r="K39" s="23">
        <f>SQRT(стойки_МП50_ГХ[[#This Row],[Iy, см4]]/стойки_МП50_ГХ[[#This Row],[A, см2]])</f>
        <v>1.6226704081416616</v>
      </c>
      <c r="M39"/>
      <c r="N39"/>
      <c r="O39"/>
      <c r="P39"/>
      <c r="Q39"/>
      <c r="R39"/>
      <c r="S39"/>
      <c r="U39"/>
      <c r="V39"/>
      <c r="W39"/>
      <c r="X39"/>
      <c r="Y39"/>
      <c r="Z39"/>
      <c r="AA39"/>
      <c r="AB39"/>
      <c r="AC39"/>
    </row>
    <row r="40" spans="1:29" x14ac:dyDescent="0.3">
      <c r="A40" s="28" t="s">
        <v>579</v>
      </c>
      <c r="B40" s="23">
        <v>198.34899999999999</v>
      </c>
      <c r="C40" s="23">
        <v>30.762</v>
      </c>
      <c r="D40" s="23">
        <v>30.762</v>
      </c>
      <c r="E40" s="23">
        <v>37.826999999999998</v>
      </c>
      <c r="F40" s="23">
        <v>15.13</v>
      </c>
      <c r="G40" s="23">
        <v>122.26</v>
      </c>
      <c r="H40" s="21">
        <v>3.9279999999999999</v>
      </c>
      <c r="I40" s="23">
        <v>14.493</v>
      </c>
      <c r="J40" s="23">
        <f>SQRT(стойки_МП50_ГХ[[#This Row],[Ix, см4]]/стойки_МП50_ГХ[[#This Row],[A, см2]])</f>
        <v>3.6994389224013697</v>
      </c>
      <c r="K40" s="23">
        <f>SQRT(стойки_МП50_ГХ[[#This Row],[Iy, см4]]/стойки_МП50_ГХ[[#This Row],[A, см2]])</f>
        <v>1.6155552078722952</v>
      </c>
      <c r="M40"/>
      <c r="N40"/>
      <c r="O40"/>
      <c r="P40"/>
      <c r="Q40"/>
      <c r="R40"/>
      <c r="S40"/>
      <c r="U40"/>
      <c r="V40"/>
      <c r="W40"/>
      <c r="X40"/>
      <c r="Y40"/>
      <c r="Z40"/>
      <c r="AA40"/>
      <c r="AB40"/>
      <c r="AC40"/>
    </row>
    <row r="41" spans="1:29" x14ac:dyDescent="0.3">
      <c r="A41" s="133"/>
      <c r="B41" s="130"/>
      <c r="C41" s="130"/>
      <c r="D41" s="130"/>
      <c r="E41" s="130"/>
      <c r="F41" s="130"/>
      <c r="G41" s="131"/>
      <c r="H41" s="132"/>
      <c r="I41" s="132"/>
      <c r="J41" s="132"/>
      <c r="K41" s="132"/>
      <c r="M41"/>
      <c r="N41"/>
      <c r="O41"/>
      <c r="P41"/>
      <c r="Q41"/>
      <c r="R41"/>
      <c r="S41"/>
      <c r="U41"/>
      <c r="V41"/>
      <c r="W41"/>
      <c r="X41"/>
      <c r="Y41"/>
      <c r="Z41"/>
      <c r="AA41"/>
      <c r="AB41"/>
      <c r="AC41"/>
    </row>
    <row r="42" spans="1:29" x14ac:dyDescent="0.3">
      <c r="A42" s="133"/>
      <c r="B42" s="130"/>
      <c r="C42" s="130"/>
      <c r="D42" s="130"/>
      <c r="E42" s="130"/>
      <c r="F42" s="130"/>
      <c r="G42" s="131"/>
      <c r="H42" s="132"/>
      <c r="I42" s="132"/>
      <c r="J42" s="132"/>
      <c r="K42" s="132"/>
      <c r="M42"/>
      <c r="N42"/>
      <c r="O42"/>
      <c r="P42"/>
      <c r="Q42"/>
      <c r="R42"/>
      <c r="S42"/>
      <c r="U42"/>
      <c r="V42"/>
      <c r="W42"/>
      <c r="X42"/>
      <c r="Y42"/>
      <c r="Z42"/>
      <c r="AA42"/>
      <c r="AB42"/>
      <c r="AC42"/>
    </row>
    <row r="43" spans="1:29" x14ac:dyDescent="0.3">
      <c r="A43" s="133"/>
      <c r="B43" s="130"/>
      <c r="C43" s="130"/>
      <c r="D43" s="130"/>
      <c r="E43" s="130"/>
      <c r="F43" s="130"/>
      <c r="G43" s="131"/>
      <c r="H43" s="132"/>
      <c r="I43" s="132"/>
      <c r="J43" s="132"/>
      <c r="K43" s="132"/>
      <c r="M43"/>
      <c r="N43"/>
      <c r="O43"/>
      <c r="P43"/>
      <c r="Q43"/>
      <c r="R43"/>
      <c r="S43"/>
      <c r="U43"/>
      <c r="V43"/>
      <c r="W43"/>
      <c r="X43"/>
      <c r="Y43"/>
      <c r="Z43"/>
      <c r="AA43"/>
      <c r="AB43"/>
      <c r="AC43"/>
    </row>
    <row r="44" spans="1:29" x14ac:dyDescent="0.3">
      <c r="A44" s="133"/>
      <c r="B44" s="130"/>
      <c r="C44" s="130"/>
      <c r="D44" s="130"/>
      <c r="E44" s="130"/>
      <c r="F44" s="130"/>
      <c r="G44" s="131"/>
      <c r="H44" s="132"/>
      <c r="I44" s="132"/>
      <c r="J44" s="132"/>
      <c r="K44" s="132"/>
      <c r="M44"/>
      <c r="N44"/>
      <c r="O44"/>
      <c r="P44"/>
      <c r="Q44"/>
      <c r="R44"/>
      <c r="S44"/>
      <c r="U44"/>
      <c r="V44"/>
      <c r="W44"/>
      <c r="X44"/>
      <c r="Y44"/>
      <c r="Z44"/>
      <c r="AA44"/>
      <c r="AB44"/>
      <c r="AC44"/>
    </row>
    <row r="45" spans="1:29" x14ac:dyDescent="0.3">
      <c r="A45" s="133"/>
      <c r="B45" s="130"/>
      <c r="C45" s="130"/>
      <c r="D45" s="130"/>
      <c r="E45" s="130"/>
      <c r="F45" s="130"/>
      <c r="G45" s="131"/>
      <c r="H45" s="132"/>
      <c r="I45" s="132"/>
      <c r="J45" s="132"/>
      <c r="K45" s="132"/>
      <c r="M45"/>
      <c r="N45"/>
      <c r="O45"/>
      <c r="P45"/>
      <c r="Q45"/>
      <c r="R45"/>
      <c r="S45"/>
      <c r="U45"/>
      <c r="V45"/>
      <c r="W45"/>
      <c r="X45"/>
      <c r="Y45"/>
      <c r="Z45"/>
      <c r="AA45"/>
      <c r="AB45"/>
      <c r="AC45"/>
    </row>
    <row r="46" spans="1:29" x14ac:dyDescent="0.3">
      <c r="A46" s="133"/>
      <c r="B46" s="130"/>
      <c r="C46" s="130"/>
      <c r="D46" s="130"/>
      <c r="E46" s="130"/>
      <c r="F46" s="130"/>
      <c r="G46" s="131"/>
      <c r="H46" s="132"/>
      <c r="I46" s="132"/>
      <c r="J46" s="132"/>
      <c r="K46" s="132"/>
      <c r="M46"/>
      <c r="N46"/>
      <c r="O46"/>
      <c r="P46"/>
      <c r="Q46"/>
      <c r="R46"/>
      <c r="S46"/>
      <c r="U46"/>
      <c r="V46"/>
      <c r="W46"/>
      <c r="X46"/>
      <c r="Y46"/>
      <c r="Z46"/>
      <c r="AA46"/>
      <c r="AB46"/>
      <c r="AC46"/>
    </row>
    <row r="47" spans="1:29" x14ac:dyDescent="0.3">
      <c r="A47" s="133"/>
      <c r="B47" s="130"/>
      <c r="C47" s="130"/>
      <c r="D47" s="130"/>
      <c r="E47" s="130"/>
      <c r="F47" s="130"/>
      <c r="G47" s="131"/>
      <c r="H47" s="132"/>
      <c r="I47" s="132"/>
      <c r="J47" s="132"/>
      <c r="K47" s="132"/>
      <c r="M47"/>
      <c r="N47"/>
      <c r="O47"/>
      <c r="P47"/>
      <c r="Q47"/>
      <c r="R47"/>
      <c r="S47"/>
      <c r="U47"/>
      <c r="V47"/>
      <c r="W47"/>
      <c r="X47"/>
      <c r="Y47"/>
      <c r="Z47"/>
      <c r="AA47"/>
      <c r="AB47"/>
      <c r="AC47"/>
    </row>
    <row r="48" spans="1:29" x14ac:dyDescent="0.3">
      <c r="A48" s="133"/>
      <c r="B48" s="130"/>
      <c r="C48" s="130"/>
      <c r="D48" s="130"/>
      <c r="E48" s="130"/>
      <c r="F48" s="130"/>
      <c r="G48" s="131"/>
      <c r="H48" s="132"/>
      <c r="I48" s="132"/>
      <c r="J48" s="132"/>
      <c r="K48" s="132"/>
      <c r="M48"/>
      <c r="N48"/>
      <c r="O48"/>
      <c r="P48"/>
      <c r="Q48"/>
      <c r="R48"/>
      <c r="S48"/>
      <c r="U48"/>
      <c r="V48"/>
      <c r="W48"/>
      <c r="X48"/>
      <c r="Y48"/>
      <c r="Z48"/>
      <c r="AA48"/>
      <c r="AB48"/>
      <c r="AC48"/>
    </row>
    <row r="49" spans="1:29" x14ac:dyDescent="0.3">
      <c r="A49" s="125"/>
      <c r="B49" s="126"/>
      <c r="C49" s="126"/>
      <c r="D49" s="126"/>
      <c r="E49" s="126"/>
      <c r="F49" s="126"/>
      <c r="G49" s="126"/>
      <c r="H49" s="127"/>
      <c r="I49" s="127"/>
      <c r="J49" s="128"/>
      <c r="K49" s="128"/>
      <c r="M49"/>
      <c r="N49"/>
      <c r="O49"/>
      <c r="P49"/>
      <c r="Q49"/>
      <c r="R49"/>
      <c r="S49"/>
      <c r="U49"/>
      <c r="V49"/>
      <c r="W49"/>
      <c r="X49"/>
      <c r="Y49"/>
      <c r="Z49"/>
      <c r="AA49"/>
      <c r="AB49"/>
      <c r="AC49"/>
    </row>
    <row r="50" spans="1:29" x14ac:dyDescent="0.3">
      <c r="A50" s="125"/>
      <c r="B50" s="126"/>
      <c r="C50" s="126"/>
      <c r="D50" s="126"/>
      <c r="E50" s="126"/>
      <c r="F50" s="126"/>
      <c r="G50" s="126"/>
      <c r="H50" s="127"/>
      <c r="I50" s="127"/>
      <c r="J50" s="128"/>
      <c r="K50" s="128"/>
      <c r="M50"/>
      <c r="N50"/>
      <c r="O50"/>
      <c r="P50"/>
      <c r="Q50"/>
      <c r="R50"/>
      <c r="S50"/>
      <c r="U50"/>
      <c r="V50"/>
      <c r="W50"/>
      <c r="X50"/>
      <c r="Y50"/>
      <c r="Z50"/>
      <c r="AA50"/>
      <c r="AB50"/>
      <c r="AC50"/>
    </row>
    <row r="51" spans="1:29" x14ac:dyDescent="0.3">
      <c r="M51" s="22"/>
      <c r="N51" s="23"/>
      <c r="O51" s="23"/>
      <c r="P51" s="23"/>
      <c r="Q51" s="23"/>
      <c r="R51" s="23"/>
      <c r="S51" s="21"/>
      <c r="U51"/>
      <c r="V51"/>
      <c r="W51"/>
      <c r="X51"/>
      <c r="Y51"/>
      <c r="Z51"/>
      <c r="AA51"/>
      <c r="AB51"/>
      <c r="AC51"/>
    </row>
    <row r="52" spans="1:29" x14ac:dyDescent="0.3">
      <c r="M52" s="22"/>
      <c r="N52" s="23"/>
      <c r="O52" s="23"/>
      <c r="P52" s="23"/>
      <c r="Q52" s="23"/>
      <c r="R52" s="23"/>
      <c r="S52" s="21"/>
      <c r="U52"/>
      <c r="V52"/>
      <c r="W52"/>
      <c r="X52"/>
      <c r="Y52"/>
      <c r="Z52"/>
      <c r="AA52"/>
      <c r="AB52"/>
      <c r="AC52"/>
    </row>
    <row r="53" spans="1:29" x14ac:dyDescent="0.3">
      <c r="M53" s="22"/>
      <c r="N53" s="23"/>
      <c r="O53" s="23"/>
      <c r="P53" s="23"/>
      <c r="Q53" s="23"/>
      <c r="R53" s="23"/>
      <c r="S53" s="21"/>
      <c r="U53"/>
      <c r="V53"/>
      <c r="W53"/>
      <c r="X53"/>
      <c r="Y53"/>
      <c r="Z53"/>
      <c r="AA53"/>
      <c r="AB53"/>
      <c r="AC53"/>
    </row>
    <row r="54" spans="1:29" x14ac:dyDescent="0.3">
      <c r="U54"/>
      <c r="V54"/>
      <c r="W54"/>
      <c r="X54"/>
      <c r="Y54"/>
      <c r="Z54"/>
      <c r="AA54"/>
      <c r="AB54"/>
      <c r="AC54"/>
    </row>
    <row r="55" spans="1:29" x14ac:dyDescent="0.3">
      <c r="U55"/>
      <c r="V55"/>
      <c r="W55"/>
      <c r="X55"/>
      <c r="Y55"/>
      <c r="Z55"/>
      <c r="AA55"/>
      <c r="AB55"/>
      <c r="AC55"/>
    </row>
    <row r="56" spans="1:29" x14ac:dyDescent="0.3">
      <c r="U56" s="22"/>
      <c r="V56" s="23"/>
      <c r="W56" s="23"/>
      <c r="X56" s="23"/>
      <c r="Y56" s="23"/>
      <c r="Z56" s="23"/>
      <c r="AA56" s="21"/>
      <c r="AB56" s="11"/>
      <c r="AC56" s="21"/>
    </row>
    <row r="57" spans="1:29" x14ac:dyDescent="0.3">
      <c r="U57" s="22"/>
      <c r="V57" s="23"/>
      <c r="W57" s="23"/>
      <c r="X57" s="23"/>
      <c r="Y57" s="23"/>
      <c r="Z57" s="23"/>
      <c r="AA57" s="21"/>
      <c r="AB57" s="11"/>
      <c r="AC57" s="21"/>
    </row>
    <row r="58" spans="1:29" x14ac:dyDescent="0.3">
      <c r="U58" s="134"/>
      <c r="V58" s="23"/>
      <c r="W58" s="23"/>
      <c r="X58" s="23"/>
      <c r="Y58" s="23"/>
      <c r="Z58" s="23"/>
      <c r="AA58" s="23"/>
      <c r="AB58" s="135"/>
      <c r="AC58" s="136"/>
    </row>
  </sheetData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view="pageBreakPreview" zoomScale="85" zoomScaleNormal="100" zoomScaleSheetLayoutView="85" workbookViewId="0">
      <selection activeCell="F13" sqref="F13"/>
    </sheetView>
  </sheetViews>
  <sheetFormatPr defaultRowHeight="15" x14ac:dyDescent="0.25"/>
  <cols>
    <col min="1" max="1" width="10.140625" style="30" customWidth="1"/>
    <col min="2" max="2" width="12.42578125" style="30" bestFit="1" customWidth="1"/>
    <col min="3" max="3" width="9.140625" style="30"/>
    <col min="4" max="10" width="8.5703125" style="30" customWidth="1"/>
    <col min="11" max="11" width="17" style="30" bestFit="1" customWidth="1"/>
    <col min="12" max="12" width="23" style="30" customWidth="1"/>
    <col min="13" max="13" width="14.5703125" style="30" customWidth="1"/>
    <col min="14" max="14" width="2.5703125" style="30" customWidth="1"/>
    <col min="15" max="16384" width="9.140625" style="30"/>
  </cols>
  <sheetData>
    <row r="1" spans="11:12" ht="14.25" customHeight="1" x14ac:dyDescent="0.25"/>
    <row r="2" spans="11:12" x14ac:dyDescent="0.25">
      <c r="K2" s="142" t="s">
        <v>5</v>
      </c>
      <c r="L2" s="32"/>
    </row>
    <row r="3" spans="11:12" x14ac:dyDescent="0.25">
      <c r="K3" s="142" t="s">
        <v>0</v>
      </c>
      <c r="L3" s="32"/>
    </row>
    <row r="4" spans="11:12" x14ac:dyDescent="0.25">
      <c r="K4" s="142" t="s">
        <v>1</v>
      </c>
      <c r="L4" s="33" t="s">
        <v>587</v>
      </c>
    </row>
    <row r="5" spans="11:12" x14ac:dyDescent="0.25">
      <c r="K5" s="142" t="s">
        <v>2</v>
      </c>
      <c r="L5" s="141" t="s">
        <v>588</v>
      </c>
    </row>
    <row r="6" spans="11:12" x14ac:dyDescent="0.25">
      <c r="K6" s="142" t="s">
        <v>3</v>
      </c>
      <c r="L6" s="34">
        <f ca="1">TODAY()</f>
        <v>46288</v>
      </c>
    </row>
    <row r="20" spans="2:12" ht="24" customHeight="1" x14ac:dyDescent="0.25">
      <c r="B20" s="151" t="s">
        <v>4</v>
      </c>
      <c r="C20" s="151"/>
      <c r="D20" s="151"/>
      <c r="E20" s="151"/>
      <c r="F20" s="151"/>
      <c r="G20" s="151"/>
      <c r="H20" s="151"/>
      <c r="I20" s="151"/>
      <c r="J20" s="151"/>
      <c r="K20" s="151"/>
      <c r="L20" s="151"/>
    </row>
    <row r="21" spans="2:12" ht="24" x14ac:dyDescent="0.25">
      <c r="B21" s="151" t="s">
        <v>586</v>
      </c>
      <c r="C21" s="151"/>
      <c r="D21" s="151"/>
      <c r="E21" s="151"/>
      <c r="F21" s="151"/>
      <c r="G21" s="151"/>
      <c r="H21" s="151"/>
      <c r="I21" s="151"/>
      <c r="J21" s="151"/>
      <c r="K21" s="151"/>
      <c r="L21" s="151"/>
    </row>
    <row r="22" spans="2:12" x14ac:dyDescent="0.25">
      <c r="B22" s="30" t="s">
        <v>6</v>
      </c>
      <c r="C22" s="35"/>
    </row>
    <row r="23" spans="2:12" x14ac:dyDescent="0.25">
      <c r="B23" s="30" t="s">
        <v>9</v>
      </c>
      <c r="C23" s="35"/>
    </row>
    <row r="24" spans="2:12" x14ac:dyDescent="0.25">
      <c r="B24" s="30" t="s">
        <v>7</v>
      </c>
      <c r="C24" s="35"/>
    </row>
    <row r="25" spans="2:12" x14ac:dyDescent="0.25">
      <c r="B25" s="30" t="s">
        <v>8</v>
      </c>
      <c r="C25" s="35"/>
    </row>
    <row r="36" spans="2:12" ht="42" customHeight="1" x14ac:dyDescent="0.25"/>
    <row r="37" spans="2:12" ht="29.25" customHeight="1" x14ac:dyDescent="0.25"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</sheetData>
  <sheetProtection password="C737" sheet="1" objects="1" scenarios="1"/>
  <mergeCells count="2">
    <mergeCell ref="B20:L20"/>
    <mergeCell ref="B21:L21"/>
  </mergeCells>
  <hyperlinks>
    <hyperlink ref="L5" r:id="rId1"/>
  </hyperlinks>
  <pageMargins left="0" right="0" top="0" bottom="0" header="0.31496062992125984" footer="0.31496062992125984"/>
  <pageSetup paperSize="9" fitToWidth="0" fitToHeight="0" orientation="landscape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view="pageBreakPreview" zoomScale="85" zoomScaleNormal="100" zoomScaleSheetLayoutView="85" workbookViewId="0">
      <selection activeCell="I23" sqref="I23"/>
    </sheetView>
  </sheetViews>
  <sheetFormatPr defaultRowHeight="16.5" x14ac:dyDescent="0.3"/>
  <cols>
    <col min="1" max="1" width="10.140625" style="36" customWidth="1"/>
    <col min="2" max="2" width="8.42578125" style="36" customWidth="1"/>
    <col min="3" max="3" width="22.5703125" style="36" customWidth="1"/>
    <col min="4" max="4" width="15.28515625" style="36" bestFit="1" customWidth="1"/>
    <col min="5" max="5" width="5.28515625" style="36" customWidth="1"/>
    <col min="6" max="6" width="9.42578125" style="36" customWidth="1"/>
    <col min="7" max="7" width="9.140625" style="36"/>
    <col min="8" max="8" width="34" style="36" customWidth="1"/>
    <col min="9" max="9" width="15.28515625" style="36" bestFit="1" customWidth="1"/>
    <col min="10" max="10" width="16.85546875" style="36" customWidth="1"/>
    <col min="11" max="11" width="2.42578125" style="36" customWidth="1"/>
    <col min="12" max="16384" width="9.140625" style="36"/>
  </cols>
  <sheetData>
    <row r="1" spans="2:9" ht="13.5" customHeight="1" x14ac:dyDescent="0.3"/>
    <row r="2" spans="2:9" ht="18.75" x14ac:dyDescent="0.3">
      <c r="B2" s="37" t="s">
        <v>177</v>
      </c>
      <c r="H2" s="37" t="s">
        <v>185</v>
      </c>
    </row>
    <row r="3" spans="2:9" x14ac:dyDescent="0.3">
      <c r="B3" s="36" t="s">
        <v>178</v>
      </c>
      <c r="C3" s="36" t="s">
        <v>179</v>
      </c>
      <c r="D3" s="36" t="s">
        <v>180</v>
      </c>
      <c r="H3" s="36" t="s">
        <v>179</v>
      </c>
      <c r="I3" s="36" t="s">
        <v>187</v>
      </c>
    </row>
    <row r="4" spans="2:9" x14ac:dyDescent="0.3">
      <c r="B4" s="137">
        <v>3</v>
      </c>
      <c r="C4" s="36" t="s">
        <v>194</v>
      </c>
    </row>
    <row r="5" spans="2:9" x14ac:dyDescent="0.3">
      <c r="B5" s="137">
        <v>4</v>
      </c>
      <c r="C5" s="36" t="s">
        <v>258</v>
      </c>
      <c r="H5" s="137"/>
    </row>
    <row r="6" spans="2:9" x14ac:dyDescent="0.3">
      <c r="B6" s="137">
        <v>5</v>
      </c>
      <c r="C6" s="36" t="s">
        <v>258</v>
      </c>
      <c r="H6" s="137"/>
    </row>
    <row r="7" spans="2:9" x14ac:dyDescent="0.3">
      <c r="B7" s="137">
        <v>6</v>
      </c>
      <c r="C7" s="36" t="s">
        <v>305</v>
      </c>
      <c r="H7" s="137"/>
    </row>
    <row r="8" spans="2:9" x14ac:dyDescent="0.3">
      <c r="B8" s="137">
        <v>7</v>
      </c>
      <c r="C8" s="36" t="s">
        <v>305</v>
      </c>
      <c r="H8" s="137"/>
    </row>
    <row r="9" spans="2:9" x14ac:dyDescent="0.3">
      <c r="B9" s="137">
        <v>8</v>
      </c>
      <c r="C9" s="36" t="s">
        <v>305</v>
      </c>
      <c r="H9" s="137"/>
    </row>
    <row r="10" spans="2:9" x14ac:dyDescent="0.3">
      <c r="B10" s="137">
        <v>9</v>
      </c>
      <c r="C10" s="36" t="s">
        <v>362</v>
      </c>
      <c r="H10" s="137"/>
    </row>
    <row r="11" spans="2:9" x14ac:dyDescent="0.3">
      <c r="B11" s="137">
        <v>10</v>
      </c>
      <c r="C11" s="36" t="s">
        <v>362</v>
      </c>
      <c r="H11" s="137"/>
    </row>
    <row r="12" spans="2:9" x14ac:dyDescent="0.3">
      <c r="B12" s="137">
        <v>11</v>
      </c>
      <c r="C12" s="36" t="s">
        <v>410</v>
      </c>
      <c r="H12" s="137"/>
    </row>
    <row r="14" spans="2:9" ht="18.75" x14ac:dyDescent="0.3">
      <c r="B14" s="37" t="s">
        <v>181</v>
      </c>
      <c r="H14" s="37" t="s">
        <v>186</v>
      </c>
    </row>
    <row r="15" spans="2:9" x14ac:dyDescent="0.3">
      <c r="B15" s="38" t="s">
        <v>182</v>
      </c>
      <c r="H15" s="36" t="s">
        <v>179</v>
      </c>
      <c r="I15" s="36" t="s">
        <v>187</v>
      </c>
    </row>
    <row r="16" spans="2:9" ht="33" customHeight="1" x14ac:dyDescent="0.3">
      <c r="B16" s="152" t="s">
        <v>183</v>
      </c>
      <c r="C16" s="152"/>
      <c r="D16" s="152"/>
      <c r="E16" s="152"/>
      <c r="F16" s="39"/>
      <c r="H16" s="40" t="s">
        <v>188</v>
      </c>
      <c r="I16" s="41" t="s">
        <v>191</v>
      </c>
    </row>
    <row r="17" spans="2:10" ht="33" x14ac:dyDescent="0.3">
      <c r="B17" s="152"/>
      <c r="C17" s="152"/>
      <c r="D17" s="152"/>
      <c r="E17" s="152"/>
      <c r="F17" s="39"/>
      <c r="H17" s="40" t="s">
        <v>189</v>
      </c>
      <c r="I17" s="41" t="s">
        <v>192</v>
      </c>
    </row>
    <row r="18" spans="2:10" ht="66" x14ac:dyDescent="0.3">
      <c r="B18" s="152"/>
      <c r="C18" s="152"/>
      <c r="D18" s="152"/>
      <c r="E18" s="152"/>
      <c r="F18" s="39"/>
      <c r="H18" s="40" t="s">
        <v>190</v>
      </c>
      <c r="I18" s="41" t="s">
        <v>193</v>
      </c>
    </row>
    <row r="19" spans="2:10" x14ac:dyDescent="0.3">
      <c r="B19" s="152"/>
      <c r="C19" s="152"/>
      <c r="D19" s="152"/>
      <c r="E19" s="152"/>
      <c r="F19" s="39"/>
    </row>
    <row r="20" spans="2:10" x14ac:dyDescent="0.3">
      <c r="B20" s="152"/>
      <c r="C20" s="152"/>
      <c r="D20" s="152"/>
      <c r="E20" s="152"/>
      <c r="F20" s="39"/>
      <c r="J20" s="42"/>
    </row>
    <row r="21" spans="2:10" x14ac:dyDescent="0.3">
      <c r="B21" s="43" t="s">
        <v>184</v>
      </c>
      <c r="C21" s="39"/>
      <c r="D21" s="39"/>
      <c r="E21" s="39"/>
      <c r="F21" s="39"/>
    </row>
    <row r="22" spans="2:10" ht="16.5" customHeight="1" x14ac:dyDescent="0.3">
      <c r="B22" s="152" t="s">
        <v>195</v>
      </c>
      <c r="C22" s="152"/>
      <c r="D22" s="152"/>
      <c r="E22" s="152"/>
      <c r="F22" s="39"/>
    </row>
    <row r="23" spans="2:10" x14ac:dyDescent="0.3">
      <c r="B23" s="152"/>
      <c r="C23" s="152"/>
      <c r="D23" s="152"/>
      <c r="E23" s="152"/>
      <c r="F23" s="39"/>
    </row>
    <row r="24" spans="2:10" x14ac:dyDescent="0.3">
      <c r="B24" s="152"/>
      <c r="C24" s="152"/>
      <c r="D24" s="152"/>
      <c r="E24" s="152"/>
      <c r="F24" s="39"/>
    </row>
    <row r="25" spans="2:10" x14ac:dyDescent="0.3">
      <c r="B25" s="152"/>
      <c r="C25" s="152"/>
      <c r="D25" s="152"/>
      <c r="E25" s="152"/>
      <c r="F25" s="39"/>
    </row>
    <row r="26" spans="2:10" ht="16.5" customHeight="1" x14ac:dyDescent="0.3">
      <c r="B26" s="152"/>
      <c r="C26" s="152"/>
      <c r="D26" s="152"/>
      <c r="E26" s="152"/>
      <c r="F26" s="39"/>
    </row>
    <row r="27" spans="2:10" ht="16.5" customHeight="1" x14ac:dyDescent="0.3">
      <c r="B27" s="152"/>
      <c r="C27" s="152"/>
      <c r="D27" s="152"/>
      <c r="E27" s="152"/>
      <c r="F27" s="39"/>
    </row>
    <row r="28" spans="2:10" x14ac:dyDescent="0.3">
      <c r="B28" s="152"/>
      <c r="C28" s="152"/>
      <c r="D28" s="152"/>
      <c r="E28" s="152"/>
      <c r="F28" s="39"/>
    </row>
    <row r="29" spans="2:10" x14ac:dyDescent="0.3">
      <c r="B29" s="152"/>
      <c r="C29" s="152"/>
      <c r="D29" s="152"/>
      <c r="E29" s="152"/>
      <c r="F29" s="39"/>
    </row>
    <row r="30" spans="2:10" ht="21.75" customHeight="1" x14ac:dyDescent="0.3">
      <c r="B30" s="39"/>
      <c r="C30" s="39"/>
      <c r="D30" s="39"/>
      <c r="E30" s="39"/>
      <c r="F30" s="39"/>
      <c r="J30" s="44" t="str">
        <f ca="1">MID(CELL("имяфайла",K25),SEARCH("]",CELL("имяфайла",K25))+1,255)&amp;"/11"</f>
        <v>2/11</v>
      </c>
    </row>
    <row r="31" spans="2:10" ht="30" customHeight="1" x14ac:dyDescent="0.3">
      <c r="B31" s="45"/>
      <c r="C31" s="45"/>
      <c r="D31" s="45"/>
      <c r="E31" s="45"/>
      <c r="F31" s="45"/>
      <c r="G31" s="45"/>
      <c r="H31" s="45"/>
      <c r="I31" s="45"/>
      <c r="J31" s="46"/>
    </row>
  </sheetData>
  <sheetProtection password="C737" sheet="1" objects="1" scenarios="1"/>
  <mergeCells count="2">
    <mergeCell ref="B16:E20"/>
    <mergeCell ref="B22:E29"/>
  </mergeCells>
  <pageMargins left="0" right="0" top="0" bottom="0" header="0.31496062992125984" footer="0.31496062992125984"/>
  <pageSetup paperSize="9" fitToWidth="0" fitToHeight="0" orientation="landscape" r:id="rId1"/>
  <drawing r:id="rId2"/>
  <tableParts count="3"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R35"/>
  <sheetViews>
    <sheetView tabSelected="1" view="pageBreakPreview" zoomScaleNormal="85" zoomScaleSheetLayoutView="100" zoomScalePageLayoutView="85" workbookViewId="0">
      <selection activeCell="E24" sqref="E24"/>
    </sheetView>
  </sheetViews>
  <sheetFormatPr defaultRowHeight="16.5" x14ac:dyDescent="0.3"/>
  <cols>
    <col min="1" max="1" width="10.140625" style="36" customWidth="1"/>
    <col min="2" max="2" width="41.42578125" style="36" customWidth="1"/>
    <col min="3" max="3" width="27.85546875" style="36" customWidth="1"/>
    <col min="4" max="4" width="2.7109375" style="50" customWidth="1"/>
    <col min="5" max="5" width="7.42578125" style="36" bestFit="1" customWidth="1"/>
    <col min="6" max="12" width="7.42578125" style="36" customWidth="1"/>
    <col min="13" max="13" width="4.42578125" style="36" customWidth="1"/>
    <col min="14" max="14" width="2.42578125" style="36" customWidth="1"/>
    <col min="15" max="15" width="9.140625" style="36"/>
    <col min="16" max="16" width="9.5703125" style="36" bestFit="1" customWidth="1"/>
    <col min="17" max="16384" width="9.140625" style="36"/>
  </cols>
  <sheetData>
    <row r="1" spans="2:17" ht="13.5" customHeight="1" x14ac:dyDescent="0.3"/>
    <row r="2" spans="2:17" ht="18.75" x14ac:dyDescent="0.3">
      <c r="B2" s="37" t="s">
        <v>194</v>
      </c>
    </row>
    <row r="3" spans="2:17" ht="22.5" customHeight="1" x14ac:dyDescent="0.3">
      <c r="B3" s="51" t="s">
        <v>197</v>
      </c>
    </row>
    <row r="4" spans="2:17" ht="18" x14ac:dyDescent="0.35">
      <c r="B4" s="48" t="s">
        <v>10</v>
      </c>
      <c r="C4" s="144" t="s">
        <v>79</v>
      </c>
      <c r="D4" s="153" t="s">
        <v>441</v>
      </c>
      <c r="E4" s="154"/>
      <c r="F4" s="149">
        <v>0.8</v>
      </c>
      <c r="G4" s="36" t="s">
        <v>443</v>
      </c>
      <c r="P4" s="52"/>
      <c r="Q4" s="36" t="s">
        <v>240</v>
      </c>
    </row>
    <row r="5" spans="2:17" x14ac:dyDescent="0.3">
      <c r="B5" s="48" t="s">
        <v>196</v>
      </c>
      <c r="C5" s="144" t="s">
        <v>227</v>
      </c>
      <c r="D5" s="36" t="s">
        <v>242</v>
      </c>
      <c r="P5" s="53"/>
      <c r="Q5" s="36" t="s">
        <v>241</v>
      </c>
    </row>
    <row r="6" spans="2:17" x14ac:dyDescent="0.3">
      <c r="B6" s="48" t="s">
        <v>202</v>
      </c>
      <c r="C6" s="145">
        <v>25</v>
      </c>
      <c r="D6" s="36" t="s">
        <v>461</v>
      </c>
    </row>
    <row r="7" spans="2:17" x14ac:dyDescent="0.3">
      <c r="B7" s="48" t="s">
        <v>203</v>
      </c>
      <c r="C7" s="145">
        <v>50</v>
      </c>
    </row>
    <row r="8" spans="2:17" ht="22.5" customHeight="1" x14ac:dyDescent="0.3">
      <c r="B8" s="54" t="s">
        <v>198</v>
      </c>
      <c r="C8" s="146" t="s">
        <v>546</v>
      </c>
    </row>
    <row r="9" spans="2:17" x14ac:dyDescent="0.3">
      <c r="B9" s="48" t="s">
        <v>421</v>
      </c>
      <c r="C9" s="146" t="s">
        <v>423</v>
      </c>
    </row>
    <row r="10" spans="2:17" x14ac:dyDescent="0.3">
      <c r="B10" s="48" t="s">
        <v>232</v>
      </c>
      <c r="C10" s="145">
        <v>50</v>
      </c>
    </row>
    <row r="11" spans="2:17" x14ac:dyDescent="0.3">
      <c r="B11" s="48" t="s">
        <v>204</v>
      </c>
      <c r="C11" s="145">
        <v>18</v>
      </c>
      <c r="G11" s="94"/>
    </row>
    <row r="12" spans="2:17" x14ac:dyDescent="0.3">
      <c r="B12" s="48" t="s">
        <v>219</v>
      </c>
      <c r="C12" s="146" t="s">
        <v>235</v>
      </c>
      <c r="D12" s="36" t="s">
        <v>411</v>
      </c>
    </row>
    <row r="13" spans="2:17" ht="22.5" customHeight="1" x14ac:dyDescent="0.35">
      <c r="B13" s="147" t="s">
        <v>199</v>
      </c>
      <c r="C13" s="143"/>
      <c r="E13" s="55" t="s">
        <v>414</v>
      </c>
      <c r="F13" s="55" t="s">
        <v>415</v>
      </c>
      <c r="G13" s="55" t="s">
        <v>416</v>
      </c>
      <c r="H13" s="55" t="s">
        <v>417</v>
      </c>
      <c r="I13" s="55" t="s">
        <v>214</v>
      </c>
      <c r="J13" s="55" t="s">
        <v>439</v>
      </c>
      <c r="K13" s="55" t="s">
        <v>440</v>
      </c>
      <c r="L13" s="55" t="s">
        <v>442</v>
      </c>
    </row>
    <row r="14" spans="2:17" x14ac:dyDescent="0.3">
      <c r="B14" s="48" t="s">
        <v>239</v>
      </c>
      <c r="C14" s="146" t="s">
        <v>565</v>
      </c>
      <c r="E14" s="56">
        <f>IF($C$8="МП-50",IF($B$13="стойка",VLOOKUP($C$14,стойки_МП50_ГХ[],2,FALSE),VLOOKUP($C$14,импосты_МП50_ГХ[],2,FALSE)),IF($C$8="МП-40",IF($B$13="стойка",VLOOKUP($C$14,стойки_МП40_ГХ[],2,FALSE),VLOOKUP($C$14,стойки_МП40_ГХ[],2,FALSE))))</f>
        <v>22.88</v>
      </c>
      <c r="F14" s="56">
        <f>IF($C$8="МП-50",IF($B$13="стойка",VLOOKUP($C$14,стойки_МП50_ГХ[],3,FALSE),VLOOKUP($C$14,импосты_МП50_ГХ[],3,FALSE)),IF($C$8="МП-40",IF($B$13="стойка",VLOOKUP($C$14,стойки_МП40_ГХ[],3,FALSE),VLOOKUP($C$14,стойки_МП40_ГХ[],3,FALSE))))</f>
        <v>6.76</v>
      </c>
      <c r="G14" s="56">
        <f>IF($C$8="МП-50",IF($B$13="стойка",VLOOKUP($C$14,стойки_МП50_ГХ[],5,FALSE),VLOOKUP($C$14,импосты_МП50_ГХ[],4,FALSE)),IF($C$8="МП-40",IF($B$13="стойка",VLOOKUP($C$14,стойки_МП40_ГХ[],5,FALSE),VLOOKUP($C$14,стойки_МП40_ГХ[],5,FALSE))))</f>
        <v>15.16</v>
      </c>
      <c r="H14" s="56">
        <f>IF($C$8="МП-50",IF($B$13="стойка",VLOOKUP($C$14,стойки_МП50_ГХ[],6,FALSE),VLOOKUP($C$14,импосты_МП50_ГХ[],5,FALSE)),IF($C$8="МП-40",IF($B$13="стойка",VLOOKUP($C$14,стойки_МП40_ГХ[],6,FALSE),VLOOKUP($C$14,стойки_МП40_ГХ[],6,FALSE))))</f>
        <v>6.06</v>
      </c>
      <c r="I14" s="56">
        <f>IF($C$8="МП-50",IF($B$13="стойка",VLOOKUP($C$14,стойки_МП50_ГХ[],7,FALSE),VLOOKUP($C$14,импосты_МП50_ГХ[],6,FALSE)),IF($C$8="МП-40",IF($B$13="стойка",VLOOKUP($C$14,стойки_МП40_ГХ[],7,FALSE),VLOOKUP($C$14,стойки_МП40_ГХ[],7,FALSE))))</f>
        <v>134.80000000000001</v>
      </c>
      <c r="J14" s="56">
        <f>IF($C$8="МП-50",IF($B$13="стойка",VLOOKUP($C$14,стойки_МП50_ГХ[],8,FALSE),VLOOKUP($C$14,импосты_МП50_ГХ[],7,FALSE)),IF($C$8="МП-40",IF($B$13="стойка",VLOOKUP($C$14,стойки_МП40_ГХ[],8,FALSE),VLOOKUP($C$14,стойки_МП40_ГХ[],8,FALSE))))</f>
        <v>1.329</v>
      </c>
      <c r="K14" s="56">
        <f>IF($C$8="МП-50",IF($B$13="стойка",VLOOKUP($C$14,стойки_МП50_ГХ[],9,FALSE),VLOOKUP($C$14,импосты_МП50_ГХ[],8,FALSE)),IF($C$8="МП-40",IF($B$13="стойка",VLOOKUP($C$14,стойки_МП40_ГХ[],12,FALSE),VLOOKUP($C$14,стойки_МП40_ГХ[],15,FALSE))))</f>
        <v>4.9029999999999996</v>
      </c>
      <c r="L14" s="56">
        <f>IF($C$8="МП-50",IF($B$13="стойка",VLOOKUP($C$14,стойки_МП50_ГХ[],10,FALSE),VLOOKUP($C$14,импосты_МП50_ГХ[],9,FALSE)),IF($C$8="МП-40",IF($B$13="стойка",VLOOKUP($C$14,стойки_МП40_ГХ[],13,FALSE),VLOOKUP($C$14,стойки_МП40_ГХ[],15,FALSE))))</f>
        <v>2.1602154280285464</v>
      </c>
    </row>
    <row r="15" spans="2:17" x14ac:dyDescent="0.3">
      <c r="B15" s="48" t="s">
        <v>200</v>
      </c>
      <c r="C15" s="146" t="s">
        <v>238</v>
      </c>
      <c r="D15" s="36"/>
      <c r="E15" s="57">
        <f>IF('8'!$L$28&gt;1,'8'!$D$23,"")</f>
        <v>41.398912726145028</v>
      </c>
      <c r="F15" s="57" t="str">
        <f>IF('7'!K22&gt;1,'7'!D20,"")</f>
        <v/>
      </c>
      <c r="K15" s="57" t="str">
        <f>IF($B$13="стойка",IF('6'!K17&gt;1,'6'!D15,""),"")</f>
        <v/>
      </c>
      <c r="L15" s="57" t="str">
        <f>IF($B$13="стойка",IF('6'!K28&gt;1,'6'!D26,""),"")</f>
        <v/>
      </c>
    </row>
    <row r="16" spans="2:17" x14ac:dyDescent="0.3">
      <c r="B16" s="48" t="s">
        <v>201</v>
      </c>
      <c r="C16" s="146" t="s">
        <v>245</v>
      </c>
      <c r="D16" s="36" t="str">
        <f>IF(AND(B13="ригель II уровня",C16="угловая"),"ригель II уровня не может быть угловой стойкой!!!","")</f>
        <v/>
      </c>
    </row>
    <row r="17" spans="2:13" x14ac:dyDescent="0.3">
      <c r="B17" s="48" t="s">
        <v>404</v>
      </c>
      <c r="C17" s="145">
        <v>2500</v>
      </c>
      <c r="D17" s="36" t="s">
        <v>205</v>
      </c>
    </row>
    <row r="18" spans="2:13" x14ac:dyDescent="0.3">
      <c r="B18" s="48" t="s">
        <v>206</v>
      </c>
      <c r="C18" s="145">
        <v>800</v>
      </c>
    </row>
    <row r="19" spans="2:13" x14ac:dyDescent="0.3">
      <c r="B19" s="48" t="s">
        <v>207</v>
      </c>
      <c r="C19" s="145">
        <v>800</v>
      </c>
    </row>
    <row r="20" spans="2:13" x14ac:dyDescent="0.3">
      <c r="B20" s="48" t="s">
        <v>332</v>
      </c>
      <c r="C20" s="145">
        <v>180</v>
      </c>
    </row>
    <row r="21" spans="2:13" ht="22.5" customHeight="1" x14ac:dyDescent="0.3">
      <c r="B21" s="54" t="s">
        <v>215</v>
      </c>
      <c r="C21" s="146" t="s">
        <v>419</v>
      </c>
      <c r="E21" s="55" t="s">
        <v>414</v>
      </c>
      <c r="F21" s="55" t="s">
        <v>415</v>
      </c>
      <c r="G21" s="55" t="s">
        <v>416</v>
      </c>
      <c r="H21" s="55" t="s">
        <v>417</v>
      </c>
      <c r="I21" s="55" t="s">
        <v>214</v>
      </c>
      <c r="J21" s="55" t="s">
        <v>212</v>
      </c>
      <c r="K21" s="55" t="s">
        <v>213</v>
      </c>
      <c r="L21" s="55"/>
      <c r="M21" s="55"/>
    </row>
    <row r="22" spans="2:13" x14ac:dyDescent="0.3">
      <c r="B22" s="48" t="s">
        <v>239</v>
      </c>
      <c r="C22" s="146" t="s">
        <v>565</v>
      </c>
      <c r="E22" s="56">
        <f>IF($C$8="МП-50",VLOOKUP($C$22,ригели_МП50_ГХ[],2,FALSE),IF($C$8="МП-40",VLOOKUP($C$22,стойки_МП40_ГХ[],2,FALSE)))</f>
        <v>22.88</v>
      </c>
      <c r="F22" s="56">
        <f>IF($C$8="МП-50",VLOOKUP($C$22,ригели_МП50_ГХ[],3,FALSE),IF($C$8="МП-40",VLOOKUP($C$22,стойки_МП40_ГХ[],3,FALSE)))</f>
        <v>6.76</v>
      </c>
      <c r="G22" s="56">
        <f>IF($C$8="МП-50",VLOOKUP($C$22,ригели_МП50_ГХ[],4,FALSE),IF($C$8="МП-40",VLOOKUP($C$22,стойки_МП40_ГХ[],5,FALSE)))</f>
        <v>15.16</v>
      </c>
      <c r="H22" s="56">
        <f>IF($C$8="МП-50",VLOOKUP($C$22,ригели_МП50_ГХ[],5,FALSE),IF($C$8="МП-40",VLOOKUP($C$22,стойки_МП40_ГХ[],6,FALSE)))</f>
        <v>6.06</v>
      </c>
      <c r="I22" s="56">
        <f>IF($C$8="МП-50",VLOOKUP($C$22,ригели_МП50_ГХ[],6,FALSE),IF($C$8="МП-40",VLOOKUP($C$22,стойки_МП40_ГХ[],7,FALSE)))</f>
        <v>134.80000000000001</v>
      </c>
      <c r="J22" s="56">
        <f>IF($C$8="МП-50",VLOOKUP($C$22,ригели_МП50_ГХ[],7,FALSE),IF($C$8="МП-40",VLOOKUP($C$22,стойки_МП40_ГХ[],10,FALSE)))</f>
        <v>25</v>
      </c>
      <c r="K22" s="56">
        <f>IF($C$8="МП-50",VLOOKUP($C$22,ригели_МП50_ГХ[],8,FALSE),IF($C$8="МП-40",VLOOKUP($C$22,стойки_МП40_ГХ[],11,FALSE)))</f>
        <v>33.799999999999997</v>
      </c>
      <c r="L22" s="58"/>
      <c r="M22" s="58"/>
    </row>
    <row r="23" spans="2:13" x14ac:dyDescent="0.3">
      <c r="B23" s="48" t="s">
        <v>216</v>
      </c>
      <c r="C23" s="145">
        <v>1500</v>
      </c>
      <c r="E23" s="57" t="str">
        <f>IF('10'!L22&gt;1,'10'!D19,"")</f>
        <v/>
      </c>
      <c r="F23" s="57" t="str">
        <f>IF('9'!D19&gt;1,'9'!E19,"")</f>
        <v/>
      </c>
      <c r="G23" s="57" t="str">
        <f>IF('11'!L23&gt;1,'11'!D18,"")</f>
        <v/>
      </c>
      <c r="H23" s="57" t="str">
        <f>IF('9'!D28&gt;1,'9'!E28,"")</f>
        <v/>
      </c>
    </row>
    <row r="24" spans="2:13" x14ac:dyDescent="0.3">
      <c r="B24" s="48" t="s">
        <v>217</v>
      </c>
      <c r="C24" s="145">
        <v>1030</v>
      </c>
    </row>
    <row r="25" spans="2:13" x14ac:dyDescent="0.3">
      <c r="B25" s="48" t="s">
        <v>218</v>
      </c>
      <c r="C25" s="145">
        <v>600</v>
      </c>
    </row>
    <row r="26" spans="2:13" x14ac:dyDescent="0.3">
      <c r="B26" s="48" t="s">
        <v>378</v>
      </c>
      <c r="C26" s="148">
        <v>100</v>
      </c>
      <c r="D26" s="36" t="s">
        <v>460</v>
      </c>
    </row>
    <row r="27" spans="2:13" ht="22.5" customHeight="1" x14ac:dyDescent="0.3">
      <c r="B27" s="54" t="s">
        <v>220</v>
      </c>
      <c r="C27" s="143"/>
    </row>
    <row r="28" spans="2:13" x14ac:dyDescent="0.3">
      <c r="B28" s="48" t="s">
        <v>326</v>
      </c>
      <c r="C28" s="145">
        <v>1200</v>
      </c>
      <c r="D28" s="36" t="s">
        <v>325</v>
      </c>
    </row>
    <row r="29" spans="2:13" x14ac:dyDescent="0.3">
      <c r="B29" s="48" t="s">
        <v>221</v>
      </c>
      <c r="C29" s="146" t="s">
        <v>249</v>
      </c>
      <c r="D29" s="36" t="s">
        <v>257</v>
      </c>
    </row>
    <row r="30" spans="2:13" x14ac:dyDescent="0.3">
      <c r="B30" s="48" t="s">
        <v>256</v>
      </c>
      <c r="C30" s="146" t="s">
        <v>254</v>
      </c>
    </row>
    <row r="31" spans="2:13" x14ac:dyDescent="0.3">
      <c r="B31" s="48" t="s">
        <v>222</v>
      </c>
      <c r="C31" s="146" t="s">
        <v>254</v>
      </c>
      <c r="D31" s="59"/>
      <c r="E31" s="59"/>
      <c r="F31" s="59"/>
      <c r="G31" s="59"/>
      <c r="H31" s="59"/>
      <c r="I31" s="59"/>
      <c r="J31" s="59"/>
      <c r="K31" s="59"/>
      <c r="L31" s="59"/>
      <c r="M31" s="59"/>
    </row>
    <row r="32" spans="2:13" x14ac:dyDescent="0.3">
      <c r="B32" s="60" t="s">
        <v>405</v>
      </c>
      <c r="D32" s="61"/>
      <c r="E32" s="61"/>
      <c r="F32" s="61"/>
      <c r="G32" s="61"/>
      <c r="H32" s="61"/>
      <c r="I32" s="61"/>
      <c r="J32" s="61"/>
    </row>
    <row r="33" spans="4:18" ht="25.5" customHeight="1" x14ac:dyDescent="0.3">
      <c r="D33" s="62"/>
      <c r="E33" s="63"/>
      <c r="F33" s="63"/>
      <c r="G33" s="63"/>
      <c r="H33" s="63"/>
      <c r="I33" s="63"/>
      <c r="J33" s="63"/>
      <c r="M33" s="64" t="str">
        <f ca="1">MID(CELL("имяфайла",N30),SEARCH("]",CELL("имяфайла",N30))+1,255)&amp;"/11"</f>
        <v>3/11</v>
      </c>
      <c r="N33" s="65"/>
      <c r="O33" s="65"/>
      <c r="P33" s="65"/>
    </row>
    <row r="34" spans="4:18" ht="30" customHeight="1" x14ac:dyDescent="0.3">
      <c r="K34" s="66"/>
      <c r="L34" s="66"/>
      <c r="M34" s="66"/>
      <c r="N34" s="65"/>
      <c r="O34" s="65"/>
      <c r="P34" s="65"/>
      <c r="R34" s="50"/>
    </row>
    <row r="35" spans="4:18" ht="30" customHeight="1" x14ac:dyDescent="0.3">
      <c r="K35" s="65"/>
      <c r="L35" s="65"/>
      <c r="M35" s="65"/>
      <c r="N35" s="65"/>
      <c r="O35" s="65"/>
      <c r="P35" s="65"/>
    </row>
  </sheetData>
  <sheetProtection password="C737" sheet="1" objects="1" scenarios="1"/>
  <dataConsolidate/>
  <mergeCells count="1">
    <mergeCell ref="D4:E4"/>
  </mergeCells>
  <conditionalFormatting sqref="C15">
    <cfRule type="expression" dxfId="60" priority="9">
      <formula>AND(B13="ригель II уровня",C15="двухпролётная")</formula>
    </cfRule>
  </conditionalFormatting>
  <conditionalFormatting sqref="D15">
    <cfRule type="notContainsBlanks" dxfId="59" priority="17">
      <formula>LEN(TRIM(D15))&gt;0</formula>
    </cfRule>
    <cfRule type="containsText" dxfId="58" priority="20" operator="containsText" text="Импост закрепляется только в двух точках!!!">
      <formula>NOT(ISERROR(SEARCH("Импост закрепляется только в двух точках!!!",D15)))</formula>
    </cfRule>
  </conditionalFormatting>
  <conditionalFormatting sqref="D16">
    <cfRule type="containsText" dxfId="57" priority="19" operator="containsText" text="ригель II уровня не может быть угловой стойкой!!!">
      <formula>NOT(ISERROR(SEARCH("ригель II уровня не может быть угловой стойкой!!!",D16)))</formula>
    </cfRule>
  </conditionalFormatting>
  <conditionalFormatting sqref="C16">
    <cfRule type="expression" dxfId="56" priority="18">
      <formula>AND($C$16="угловая",$B$13="Вертикальный импост")</formula>
    </cfRule>
  </conditionalFormatting>
  <conditionalFormatting sqref="E15:F15">
    <cfRule type="notContainsBlanks" dxfId="55" priority="16">
      <formula>LEN(TRIM(E15))&gt;0</formula>
    </cfRule>
  </conditionalFormatting>
  <conditionalFormatting sqref="E23:F23">
    <cfRule type="notContainsBlanks" dxfId="54" priority="13">
      <formula>LEN(TRIM(E23))&gt;0</formula>
    </cfRule>
  </conditionalFormatting>
  <conditionalFormatting sqref="G23">
    <cfRule type="notContainsBlanks" dxfId="53" priority="10">
      <formula>LEN(TRIM(G23))&gt;0</formula>
    </cfRule>
  </conditionalFormatting>
  <conditionalFormatting sqref="K15">
    <cfRule type="notContainsBlanks" dxfId="52" priority="7">
      <formula>LEN(TRIM(K15))&gt;0</formula>
    </cfRule>
  </conditionalFormatting>
  <conditionalFormatting sqref="L15">
    <cfRule type="notContainsBlanks" dxfId="51" priority="5">
      <formula>LEN(TRIM(L15))&gt;0</formula>
    </cfRule>
  </conditionalFormatting>
  <conditionalFormatting sqref="H23">
    <cfRule type="notContainsBlanks" dxfId="50" priority="2">
      <formula>LEN(TRIM(H23))&gt;0</formula>
    </cfRule>
  </conditionalFormatting>
  <dataValidations count="5">
    <dataValidation type="list" allowBlank="1" showInputMessage="1" showErrorMessage="1" sqref="C4">
      <formula1>Город</formula1>
    </dataValidation>
    <dataValidation type="list" allowBlank="1" showInputMessage="1" showErrorMessage="1" sqref="C5">
      <formula1>тип_местности</formula1>
    </dataValidation>
    <dataValidation type="list" allowBlank="1" showInputMessage="1" showErrorMessage="1" sqref="C12">
      <formula1>участок_стены</formula1>
    </dataValidation>
    <dataValidation type="list" allowBlank="1" showInputMessage="1" showErrorMessage="1" sqref="C22">
      <formula1>IF(C8="МП-50",ригели_МП50,стойки_МП40)</formula1>
    </dataValidation>
    <dataValidation type="list" allowBlank="1" showInputMessage="1" showErrorMessage="1" sqref="C14">
      <formula1>IF(C8="МП-50",IF(B13="Стойка",стойки_МП50,импосты_МП50),IF(C8="МП-40",стойки_МП40,стойки_МП40))</formula1>
    </dataValidation>
  </dataValidations>
  <pageMargins left="0" right="0" top="0" bottom="0" header="0.31496062992125984" footer="0.31496062992125984"/>
  <pageSetup paperSize="9" fitToWidth="0" fitToHeight="0" orientation="landscape" r:id="rId1"/>
  <drawing r:id="rId2"/>
  <legacyDrawing r:id="rId3"/>
  <legacyDrawingHF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5A33B58C-CFC8-429C-80F0-29CD3922BC28}">
            <xm:f>'7'!$D$21&gt;1</xm:f>
            <x14:dxf>
              <fill>
                <patternFill>
                  <bgColor rgb="FFFF0000"/>
                </patternFill>
              </fill>
            </x14:dxf>
          </x14:cfRule>
          <xm:sqref>F14</xm:sqref>
        </x14:conditionalFormatting>
        <x14:conditionalFormatting xmlns:xm="http://schemas.microsoft.com/office/excel/2006/main">
          <x14:cfRule type="expression" priority="15" id="{5F3708C2-C4C5-4C49-8288-3C2C73909655}">
            <xm:f>'8'!$L$28&gt;1</xm:f>
            <x14:dxf>
              <fill>
                <patternFill>
                  <bgColor rgb="FFFF0000"/>
                </patternFill>
              </fill>
            </x14:dxf>
          </x14:cfRule>
          <xm:sqref>E14</xm:sqref>
        </x14:conditionalFormatting>
        <x14:conditionalFormatting xmlns:xm="http://schemas.microsoft.com/office/excel/2006/main">
          <x14:cfRule type="expression" priority="12" id="{8FB8A025-1C52-4B1D-A3D1-6BFC95A97E19}">
            <xm:f>'10'!$L$22&gt;1</xm:f>
            <x14:dxf>
              <fill>
                <patternFill>
                  <bgColor rgb="FFFF0000"/>
                </patternFill>
              </fill>
            </x14:dxf>
          </x14:cfRule>
          <xm:sqref>E22</xm:sqref>
        </x14:conditionalFormatting>
        <x14:conditionalFormatting xmlns:xm="http://schemas.microsoft.com/office/excel/2006/main">
          <x14:cfRule type="expression" priority="11" id="{FF096B13-D320-44DE-9809-EA073E05CCE9}">
            <xm:f>'11'!$L$23&gt;1</xm:f>
            <x14:dxf>
              <fill>
                <patternFill>
                  <bgColor rgb="FFFF0000"/>
                </patternFill>
              </fill>
            </x14:dxf>
          </x14:cfRule>
          <xm:sqref>G22</xm:sqref>
        </x14:conditionalFormatting>
        <x14:conditionalFormatting xmlns:xm="http://schemas.microsoft.com/office/excel/2006/main">
          <x14:cfRule type="expression" priority="6" id="{CDF5616F-FEDA-4EBE-AC17-72EE34844D36}">
            <xm:f>AND('6'!$K$17&gt;1,$B$13="стойка")</xm:f>
            <x14:dxf>
              <fill>
                <patternFill>
                  <bgColor rgb="FFFF0000"/>
                </patternFill>
              </fill>
            </x14:dxf>
          </x14:cfRule>
          <xm:sqref>K14</xm:sqref>
        </x14:conditionalFormatting>
        <x14:conditionalFormatting xmlns:xm="http://schemas.microsoft.com/office/excel/2006/main">
          <x14:cfRule type="expression" priority="4" id="{59B3C43D-6654-47AF-8A21-F9E6595B05DD}">
            <xm:f>AND($B$13="стойка",'6'!K28&gt;1)</xm:f>
            <x14:dxf>
              <fill>
                <patternFill>
                  <bgColor rgb="FFFF0000"/>
                </patternFill>
              </fill>
            </x14:dxf>
          </x14:cfRule>
          <xm:sqref>L14</xm:sqref>
        </x14:conditionalFormatting>
        <x14:conditionalFormatting xmlns:xm="http://schemas.microsoft.com/office/excel/2006/main">
          <x14:cfRule type="expression" priority="3" id="{1ACA062A-38DE-42C1-A4A0-92E3AC620933}">
            <xm:f>'9'!$D$19&gt;1</xm:f>
            <x14:dxf>
              <fill>
                <patternFill>
                  <bgColor rgb="FFFF0000"/>
                </patternFill>
              </fill>
            </x14:dxf>
          </x14:cfRule>
          <xm:sqref>F22</xm:sqref>
        </x14:conditionalFormatting>
        <x14:conditionalFormatting xmlns:xm="http://schemas.microsoft.com/office/excel/2006/main">
          <x14:cfRule type="expression" priority="1" id="{38DD0C44-13A7-42F5-9F4D-0EBC03385B29}">
            <xm:f>'9'!$D$28&gt;1</xm:f>
            <x14:dxf>
              <fill>
                <patternFill>
                  <bgColor rgb="FFFF0000"/>
                </patternFill>
              </fill>
            </x14:dxf>
          </x14:cfRule>
          <xm:sqref>H22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Данные!$I$2:$I$3</xm:f>
          </x14:formula1>
          <xm:sqref>C15</xm:sqref>
        </x14:dataValidation>
        <x14:dataValidation type="list" allowBlank="1" showInputMessage="1" showErrorMessage="1">
          <x14:formula1>
            <xm:f>Данные!$I$6:$I$7</xm:f>
          </x14:formula1>
          <xm:sqref>C16</xm:sqref>
        </x14:dataValidation>
        <x14:dataValidation type="list" allowBlank="1" showInputMessage="1" showErrorMessage="1">
          <x14:formula1>
            <xm:f>Данные!$D$25:$D$28</xm:f>
          </x14:formula1>
          <xm:sqref>C29</xm:sqref>
        </x14:dataValidation>
        <x14:dataValidation type="list" allowBlank="1" showInputMessage="1" showErrorMessage="1">
          <x14:formula1>
            <xm:f>Данные!$I$14:$I$15</xm:f>
          </x14:formula1>
          <xm:sqref>C30:C31</xm:sqref>
        </x14:dataValidation>
        <x14:dataValidation type="list" allowBlank="1" showInputMessage="1" showErrorMessage="1">
          <x14:formula1>
            <xm:f>Данные!$N$2:$N$3</xm:f>
          </x14:formula1>
          <xm:sqref>C26</xm:sqref>
        </x14:dataValidation>
        <x14:dataValidation type="list" allowBlank="1" showInputMessage="1" showErrorMessage="1">
          <x14:formula1>
            <xm:f>Данные!$D$31:$D$32</xm:f>
          </x14:formula1>
          <xm:sqref>C8</xm:sqref>
        </x14:dataValidation>
        <x14:dataValidation type="list" allowBlank="1" showInputMessage="1" showErrorMessage="1">
          <x14:formula1>
            <xm:f>Данные!$D$34:$D$35</xm:f>
          </x14:formula1>
          <xm:sqref>B13</xm:sqref>
        </x14:dataValidation>
        <x14:dataValidation type="list" allowBlank="1" showInputMessage="1" showErrorMessage="1">
          <x14:formula1>
            <xm:f>IF($C$8="МП-40",Данные!$I$26,Данные!$I$26:$I$27)</xm:f>
          </x14:formula1>
          <xm:sqref>C9</xm:sqref>
        </x14:dataValidation>
        <x14:dataValidation type="list" allowBlank="1" showInputMessage="1" showErrorMessage="1">
          <x14:formula1>
            <xm:f>Данные!$I$31:$I$32</xm:f>
          </x14:formula1>
          <xm:sqref>C21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3"/>
  <sheetViews>
    <sheetView view="pageBreakPreview" zoomScale="85" zoomScaleNormal="100" zoomScaleSheetLayoutView="85" workbookViewId="0">
      <selection activeCell="F27" sqref="F27"/>
    </sheetView>
  </sheetViews>
  <sheetFormatPr defaultRowHeight="16.5" x14ac:dyDescent="0.3"/>
  <cols>
    <col min="1" max="1" width="10.140625" style="36" customWidth="1"/>
    <col min="2" max="2" width="7.28515625" style="36" customWidth="1"/>
    <col min="3" max="3" width="26.28515625" style="36" customWidth="1"/>
    <col min="4" max="4" width="9.140625" style="36"/>
    <col min="5" max="5" width="9.140625" style="36" customWidth="1"/>
    <col min="6" max="6" width="9" style="36" bestFit="1" customWidth="1"/>
    <col min="7" max="7" width="7.5703125" style="36" customWidth="1"/>
    <col min="8" max="8" width="9.140625" style="36"/>
    <col min="9" max="10" width="4.7109375" style="36" customWidth="1"/>
    <col min="11" max="12" width="9.140625" style="36"/>
    <col min="13" max="14" width="4.7109375" style="36" customWidth="1"/>
    <col min="15" max="15" width="21.5703125" style="36" customWidth="1"/>
    <col min="16" max="16" width="2.42578125" style="36" customWidth="1"/>
    <col min="17" max="16384" width="9.140625" style="36"/>
  </cols>
  <sheetData>
    <row r="1" spans="2:13" ht="13.5" customHeight="1" x14ac:dyDescent="0.3"/>
    <row r="2" spans="2:13" ht="18.75" x14ac:dyDescent="0.3">
      <c r="B2" s="37" t="s">
        <v>258</v>
      </c>
    </row>
    <row r="3" spans="2:13" ht="18.75" x14ac:dyDescent="0.3">
      <c r="B3" s="67" t="s">
        <v>259</v>
      </c>
    </row>
    <row r="4" spans="2:13" ht="25.5" customHeight="1" x14ac:dyDescent="0.3">
      <c r="E4" s="68" t="s">
        <v>260</v>
      </c>
    </row>
    <row r="6" spans="2:13" x14ac:dyDescent="0.3">
      <c r="C6" s="36" t="s">
        <v>261</v>
      </c>
    </row>
    <row r="7" spans="2:13" x14ac:dyDescent="0.3">
      <c r="C7" s="36" t="s">
        <v>262</v>
      </c>
      <c r="D7" s="41" t="str">
        <f>VLOOKUP('3'!C4,ГОРОД_ВР[],2,FALSE)</f>
        <v>I</v>
      </c>
      <c r="E7" s="36" t="s">
        <v>264</v>
      </c>
    </row>
    <row r="8" spans="2:13" x14ac:dyDescent="0.3">
      <c r="C8" s="36" t="s">
        <v>263</v>
      </c>
      <c r="D8" s="41">
        <f>IF('3'!$C$4="Произвольно",'3'!$F$4,VLOOKUP(D7,ВР_W0[],2,FALSE))</f>
        <v>0.23</v>
      </c>
      <c r="E8" s="36" t="s">
        <v>283</v>
      </c>
      <c r="F8" s="42">
        <f>D8*10^-3</f>
        <v>2.3000000000000001E-4</v>
      </c>
      <c r="G8" s="36" t="s">
        <v>265</v>
      </c>
    </row>
    <row r="10" spans="2:13" x14ac:dyDescent="0.3">
      <c r="C10" s="36" t="s">
        <v>266</v>
      </c>
      <c r="H10" s="36" t="s">
        <v>224</v>
      </c>
    </row>
    <row r="11" spans="2:13" x14ac:dyDescent="0.3">
      <c r="C11" s="36" t="s">
        <v>221</v>
      </c>
      <c r="D11" s="41" t="str">
        <f>IF('3'!C7&lt;='3'!C6,"а",IF('3'!C7&lt;=2*'3'!C6,"б","в"))</f>
        <v>б</v>
      </c>
      <c r="E11" s="36" t="s">
        <v>287</v>
      </c>
      <c r="H11" s="155" t="s">
        <v>225</v>
      </c>
      <c r="I11" s="158" t="s">
        <v>196</v>
      </c>
      <c r="J11" s="159"/>
      <c r="K11" s="159"/>
      <c r="L11" s="160"/>
      <c r="M11" s="55"/>
    </row>
    <row r="12" spans="2:13" x14ac:dyDescent="0.3">
      <c r="C12" s="36" t="s">
        <v>267</v>
      </c>
      <c r="D12" s="69">
        <f>IF('3'!C7&lt;='3'!C6,'3'!C7,IF('3'!C7&lt;=2*'3'!C6,IF('3'!C10&lt;='3'!C6,'3'!C6,'3'!C7),IF('3'!C7&gt;=2*'3'!C6,IF('3'!C10&lt;='3'!C6,'3'!C6,IF('3'!C10&lt;='3'!C7-'3'!C6,'3'!C10,IF('3'!C10&gt;'3'!C7-'3'!C6,'3'!C7))))))</f>
        <v>50</v>
      </c>
      <c r="H12" s="155"/>
      <c r="I12" s="156" t="s">
        <v>226</v>
      </c>
      <c r="J12" s="157"/>
      <c r="K12" s="49" t="s">
        <v>227</v>
      </c>
      <c r="L12" s="49" t="s">
        <v>228</v>
      </c>
      <c r="M12" s="70"/>
    </row>
    <row r="13" spans="2:13" x14ac:dyDescent="0.3">
      <c r="C13" s="36" t="s">
        <v>268</v>
      </c>
      <c r="D13" s="71">
        <f>IF('3'!C5=I12,I13,IF('3'!C5=K12,K13,L13))</f>
        <v>0.2</v>
      </c>
      <c r="E13" s="36" t="s">
        <v>291</v>
      </c>
      <c r="H13" s="48" t="s">
        <v>229</v>
      </c>
      <c r="I13" s="156">
        <v>0.15</v>
      </c>
      <c r="J13" s="157"/>
      <c r="K13" s="49">
        <v>0.2</v>
      </c>
      <c r="L13" s="49">
        <v>0.25</v>
      </c>
      <c r="M13" s="70"/>
    </row>
    <row r="14" spans="2:13" ht="21" customHeight="1" x14ac:dyDescent="0.35">
      <c r="C14" s="36" t="s">
        <v>290</v>
      </c>
      <c r="D14" s="71">
        <f>IF('3'!C5=I12,I14,IF('3'!C5=K12,K14,L14))</f>
        <v>0.65</v>
      </c>
      <c r="E14" s="36" t="s">
        <v>291</v>
      </c>
      <c r="H14" s="48" t="s">
        <v>288</v>
      </c>
      <c r="I14" s="156">
        <v>1</v>
      </c>
      <c r="J14" s="157"/>
      <c r="K14" s="49">
        <v>0.65</v>
      </c>
      <c r="L14" s="49">
        <v>0.4</v>
      </c>
      <c r="M14" s="70"/>
    </row>
    <row r="15" spans="2:13" ht="18" x14ac:dyDescent="0.35">
      <c r="D15" s="72">
        <f>D14*(D12/10)^(2*D13)</f>
        <v>1.2373750601653211</v>
      </c>
      <c r="H15" s="48" t="s">
        <v>289</v>
      </c>
      <c r="I15" s="156">
        <v>0.76</v>
      </c>
      <c r="J15" s="157"/>
      <c r="K15" s="49">
        <v>1.06</v>
      </c>
      <c r="L15" s="49">
        <v>1.78</v>
      </c>
      <c r="M15" s="70"/>
    </row>
    <row r="16" spans="2:13" x14ac:dyDescent="0.3">
      <c r="D16" s="71"/>
      <c r="H16" s="63"/>
      <c r="I16" s="63"/>
      <c r="J16" s="63"/>
      <c r="K16" s="63"/>
      <c r="L16" s="63"/>
      <c r="M16" s="63"/>
    </row>
    <row r="17" spans="3:15" x14ac:dyDescent="0.3">
      <c r="C17" s="36" t="s">
        <v>269</v>
      </c>
    </row>
    <row r="18" spans="3:15" x14ac:dyDescent="0.3">
      <c r="C18" s="36" t="s">
        <v>270</v>
      </c>
      <c r="D18" s="71">
        <f>IF('3'!C5=I12,I15,IF('3'!C5=K12,K15,L15))</f>
        <v>1.06</v>
      </c>
      <c r="E18" s="36" t="s">
        <v>291</v>
      </c>
    </row>
    <row r="19" spans="3:15" ht="20.25" customHeight="1" x14ac:dyDescent="0.3">
      <c r="D19" s="72">
        <f>D18*(D12/10)^(-D13)</f>
        <v>0.76826644349835727</v>
      </c>
    </row>
    <row r="21" spans="3:15" x14ac:dyDescent="0.3">
      <c r="C21" s="36" t="s">
        <v>271</v>
      </c>
    </row>
    <row r="22" spans="3:15" x14ac:dyDescent="0.3">
      <c r="C22" s="36" t="s">
        <v>273</v>
      </c>
      <c r="D22" s="73">
        <v>1.2</v>
      </c>
      <c r="E22" s="36" t="s">
        <v>292</v>
      </c>
    </row>
    <row r="23" spans="3:15" x14ac:dyDescent="0.3">
      <c r="C23" s="36" t="s">
        <v>272</v>
      </c>
      <c r="D23" s="74">
        <f>VLOOKUP('3'!C12,Данные!I21:J22,2,FALSE)</f>
        <v>1.2</v>
      </c>
      <c r="E23" s="36" t="s">
        <v>293</v>
      </c>
    </row>
    <row r="25" spans="3:15" x14ac:dyDescent="0.3">
      <c r="C25" s="36" t="s">
        <v>274</v>
      </c>
    </row>
    <row r="26" spans="3:15" x14ac:dyDescent="0.3">
      <c r="D26" s="137" t="s">
        <v>275</v>
      </c>
      <c r="E26" s="137" t="s">
        <v>276</v>
      </c>
      <c r="H26" s="75" t="s">
        <v>280</v>
      </c>
      <c r="I26" s="75"/>
    </row>
    <row r="27" spans="3:15" x14ac:dyDescent="0.3">
      <c r="C27" s="48" t="s">
        <v>294</v>
      </c>
      <c r="D27" s="56">
        <f>AVERAGE('3'!C18:C19)*'3'!C17/1000000</f>
        <v>2</v>
      </c>
      <c r="E27" s="56">
        <f>(IF('3'!C23&lt;='3'!C24,'3'!C23*'3'!C23/4,'3'!C24*(2*'3'!$C$23-'3'!$C$24)/4)+IF('3'!C23&lt;='3'!C25,'3'!C23*'3'!C23/4,'3'!C25*(2*'3'!$C$23-'3'!$C$25)/4))/1000000</f>
        <v>0.86727500000000002</v>
      </c>
      <c r="H27" s="76" t="s">
        <v>277</v>
      </c>
      <c r="I27" s="77" t="s">
        <v>406</v>
      </c>
      <c r="J27" s="78">
        <v>2</v>
      </c>
      <c r="K27" s="138">
        <v>5</v>
      </c>
      <c r="L27" s="49">
        <v>10</v>
      </c>
      <c r="M27" s="77" t="s">
        <v>407</v>
      </c>
      <c r="N27" s="78">
        <v>20</v>
      </c>
    </row>
    <row r="28" spans="3:15" x14ac:dyDescent="0.3">
      <c r="C28" s="48" t="s">
        <v>278</v>
      </c>
      <c r="D28" s="79">
        <f>IF($D$27&lt;=$J$27,I28,IF($D$27&lt;$K$27,I28-($D$27-$J$27)*(I28-K28)/($K$27-$J$27),IF($D$27=$K$27,K28,IF($D$27&lt;$L$27,K28-($D$27-$K$27)*(K28-L28)/($L$27-$K$27),IF($D$27=$L$27,L28,IF($D$27&lt;$N$27,L28-($D$27-$L$27)*(L28-M28)/(N27-L27),IF($D$27&gt;=N27,M28)))))))</f>
        <v>1</v>
      </c>
      <c r="E28" s="79">
        <f>IF($E$27&lt;=$J$27,I28,IF($E$27&lt;$K$27,I28-($E$27-$J$27)*(I28-K28)/($K$27-$J$27),IF($E$27=$K$27,K28,IF($E$27&lt;$L$27,K28-($E$27-$K$27)*(K28-L28)/($L$27-$K$27),IF($E$27=$L$27,L28,IF($N$27&gt;$E$27&gt;$L$27,L28-($E$27-$L$27)*(L28-M28)/($N$27-$L$27),M28))))))</f>
        <v>1</v>
      </c>
      <c r="H28" s="48" t="s">
        <v>278</v>
      </c>
      <c r="I28" s="156">
        <v>1</v>
      </c>
      <c r="J28" s="157"/>
      <c r="K28" s="49">
        <v>0.9</v>
      </c>
      <c r="L28" s="49">
        <v>0.8</v>
      </c>
      <c r="M28" s="156">
        <v>0.75</v>
      </c>
      <c r="N28" s="157"/>
    </row>
    <row r="29" spans="3:15" x14ac:dyDescent="0.3">
      <c r="C29" s="48" t="s">
        <v>279</v>
      </c>
      <c r="D29" s="79">
        <f>IF($D$27&lt;=$J$27,I29,IF($D$27&lt;$K$27,I29-($D$27-$J$27)*(I29-K29)/($K$27-$J$27),IF($D$27=$K$27,K29,IF($D$27&lt;$L$27,K29-($D$27-$K$27)*(K29-L29)/($L$27-$K$27),IF($D$27=$L$27,L29,IF($D$27&lt;$N$27,L29-($D$27-$L$27)*(L29-M29)/(N27-L27),IF($D$27&gt;=N27,M29)))))))</f>
        <v>1</v>
      </c>
      <c r="E29" s="79">
        <f>IF($E$27&lt;=$J$27,I29,IF($E$27&lt;$K$27,I29-($E$27-$J$27)*(I29-K29)/($K$27-$J$27),IF($E$27=$K$27,K29,IF($E$27&lt;$L$27,K29-($E$27-$K$27)*(K29-L29)/($L$27-$K$27),IF($E$27=$L$27,L29,IF($N$27&gt;$E$27&gt;$L$27,L29-($E$27-$L$27)*(L29-M29)/($N$27-$L$27),M29))))))</f>
        <v>1</v>
      </c>
      <c r="H29" s="48" t="s">
        <v>279</v>
      </c>
      <c r="I29" s="156">
        <v>1</v>
      </c>
      <c r="J29" s="157"/>
      <c r="K29" s="49">
        <v>0.85</v>
      </c>
      <c r="L29" s="49">
        <v>0.75</v>
      </c>
      <c r="M29" s="156">
        <v>0.65</v>
      </c>
      <c r="N29" s="157"/>
    </row>
    <row r="32" spans="3:15" ht="52.5" customHeight="1" x14ac:dyDescent="0.3">
      <c r="O32" s="80" t="str">
        <f ca="1">MID(CELL("имяфайла",P31),SEARCH("]",CELL("имяфайла",P31))+1,255)&amp;"/11"</f>
        <v>4/11</v>
      </c>
    </row>
    <row r="33" spans="2:15" ht="30" customHeight="1" x14ac:dyDescent="0.3"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</row>
  </sheetData>
  <sheetProtection password="C737" sheet="1" objects="1" scenarios="1"/>
  <mergeCells count="10">
    <mergeCell ref="H11:H12"/>
    <mergeCell ref="I28:J28"/>
    <mergeCell ref="I29:J29"/>
    <mergeCell ref="M28:N28"/>
    <mergeCell ref="M29:N29"/>
    <mergeCell ref="I12:J12"/>
    <mergeCell ref="I13:J13"/>
    <mergeCell ref="I14:J14"/>
    <mergeCell ref="I15:J15"/>
    <mergeCell ref="I11:L11"/>
  </mergeCells>
  <pageMargins left="0" right="0" top="0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4"/>
  <sheetViews>
    <sheetView view="pageBreakPreview" zoomScale="85" zoomScaleNormal="100" zoomScaleSheetLayoutView="85" workbookViewId="0">
      <selection activeCell="H5" sqref="H5"/>
    </sheetView>
  </sheetViews>
  <sheetFormatPr defaultRowHeight="16.5" x14ac:dyDescent="0.3"/>
  <cols>
    <col min="1" max="1" width="10.140625" style="36" customWidth="1"/>
    <col min="2" max="2" width="7.28515625" style="36" customWidth="1"/>
    <col min="3" max="3" width="11.7109375" style="36" customWidth="1"/>
    <col min="4" max="4" width="10" style="36" bestFit="1" customWidth="1"/>
    <col min="5" max="8" width="9.140625" style="36"/>
    <col min="9" max="9" width="9.5703125" style="36" bestFit="1" customWidth="1"/>
    <col min="10" max="13" width="9.140625" style="36"/>
    <col min="14" max="14" width="6" style="36" customWidth="1"/>
    <col min="15" max="15" width="18.5703125" style="36" customWidth="1"/>
    <col min="16" max="16" width="2.42578125" style="36" customWidth="1"/>
    <col min="17" max="16384" width="9.140625" style="36"/>
  </cols>
  <sheetData>
    <row r="1" spans="2:11" ht="13.5" customHeight="1" x14ac:dyDescent="0.3"/>
    <row r="2" spans="2:11" ht="18.75" x14ac:dyDescent="0.3">
      <c r="B2" s="37" t="s">
        <v>258</v>
      </c>
    </row>
    <row r="3" spans="2:11" ht="18.75" x14ac:dyDescent="0.3">
      <c r="B3" s="37"/>
      <c r="C3" s="36" t="s">
        <v>335</v>
      </c>
    </row>
    <row r="4" spans="2:11" ht="19.5" x14ac:dyDescent="0.35">
      <c r="B4" s="37"/>
      <c r="D4" s="137" t="s">
        <v>301</v>
      </c>
      <c r="E4" s="137" t="s">
        <v>302</v>
      </c>
      <c r="F4" s="137" t="s">
        <v>303</v>
      </c>
      <c r="G4" s="137" t="s">
        <v>281</v>
      </c>
      <c r="H4" s="137" t="s">
        <v>282</v>
      </c>
    </row>
    <row r="5" spans="2:11" ht="19.5" x14ac:dyDescent="0.35">
      <c r="B5" s="37"/>
      <c r="C5" s="44" t="s">
        <v>297</v>
      </c>
      <c r="D5" s="47" t="str">
        <f>'4'!$F$8&amp;" *"</f>
        <v>0,00023 *</v>
      </c>
      <c r="E5" s="47" t="str">
        <f>ROUND('4'!$D$15,2)&amp;"  *"</f>
        <v>1,24  *</v>
      </c>
      <c r="F5" s="47" t="str">
        <f>1+ROUND('4'!$D$19,2)&amp;"  *"</f>
        <v>1,77  *</v>
      </c>
      <c r="G5" s="47" t="str">
        <f>MAX('4'!$D$22:$D$23)&amp;"  *"</f>
        <v>1,2  *</v>
      </c>
      <c r="H5" s="47" t="str">
        <f>ROUND(MAX('4'!$D$28:$D$29),2)&amp;"    ="</f>
        <v>1    =</v>
      </c>
      <c r="I5" s="81">
        <f>'4'!F8*'4'!D15*(1+'4'!D19)*MAX('4'!D22:D23)*MAX('4'!D28:D29)</f>
        <v>6.0389042794773903E-4</v>
      </c>
      <c r="J5" s="36" t="s">
        <v>317</v>
      </c>
      <c r="K5" s="36" t="s">
        <v>285</v>
      </c>
    </row>
    <row r="6" spans="2:11" ht="19.5" x14ac:dyDescent="0.35">
      <c r="B6" s="37"/>
      <c r="C6" s="44" t="s">
        <v>297</v>
      </c>
      <c r="D6" s="47" t="str">
        <f>'4'!$F$8&amp;" *"</f>
        <v>0,00023 *</v>
      </c>
      <c r="E6" s="47" t="str">
        <f>ROUND('4'!$D$15,2)&amp;"  *"</f>
        <v>1,24  *</v>
      </c>
      <c r="F6" s="47" t="str">
        <f>1+ROUND('4'!$D$19,2)&amp;"  *"</f>
        <v>1,77  *</v>
      </c>
      <c r="G6" s="47" t="str">
        <f>MAX('4'!$D$22:$D$23)&amp;"  *"</f>
        <v>1,2  *</v>
      </c>
      <c r="H6" s="47" t="str">
        <f>ROUND(MAX('4'!$E$28:$E$29),2)&amp;"   ="</f>
        <v>1   =</v>
      </c>
      <c r="I6" s="81">
        <f>'4'!F8*'4'!D15*(1+'4'!D19)*MAX('4'!D22:D23)*MAX('4'!E28:E29)</f>
        <v>6.0389042794773903E-4</v>
      </c>
      <c r="J6" s="36" t="s">
        <v>317</v>
      </c>
      <c r="K6" s="36" t="s">
        <v>286</v>
      </c>
    </row>
    <row r="7" spans="2:11" ht="9.75" customHeight="1" x14ac:dyDescent="0.3"/>
    <row r="8" spans="2:11" x14ac:dyDescent="0.3">
      <c r="C8" s="36" t="s">
        <v>295</v>
      </c>
    </row>
    <row r="9" spans="2:11" ht="18.75" customHeight="1" x14ac:dyDescent="0.3">
      <c r="E9" s="36" t="s">
        <v>308</v>
      </c>
    </row>
    <row r="10" spans="2:11" ht="18.75" x14ac:dyDescent="0.35">
      <c r="C10" s="82" t="s">
        <v>296</v>
      </c>
      <c r="D10" s="137">
        <v>1.4</v>
      </c>
    </row>
    <row r="11" spans="2:11" x14ac:dyDescent="0.3">
      <c r="C11" s="44" t="s">
        <v>298</v>
      </c>
      <c r="D11" s="83">
        <f>I5*$D$10</f>
        <v>8.4544659912683465E-4</v>
      </c>
      <c r="E11" s="36" t="s">
        <v>284</v>
      </c>
      <c r="F11" s="36" t="s">
        <v>285</v>
      </c>
    </row>
    <row r="12" spans="2:11" x14ac:dyDescent="0.3">
      <c r="C12" s="44" t="s">
        <v>298</v>
      </c>
      <c r="D12" s="83">
        <f>I6*$D$10</f>
        <v>8.4544659912683465E-4</v>
      </c>
      <c r="E12" s="36" t="s">
        <v>284</v>
      </c>
      <c r="F12" s="36" t="s">
        <v>286</v>
      </c>
    </row>
    <row r="13" spans="2:11" ht="21" customHeight="1" x14ac:dyDescent="0.3">
      <c r="B13" s="67" t="s">
        <v>299</v>
      </c>
    </row>
    <row r="14" spans="2:11" x14ac:dyDescent="0.3">
      <c r="C14" s="36" t="s">
        <v>336</v>
      </c>
    </row>
    <row r="15" spans="2:11" ht="18" x14ac:dyDescent="0.35">
      <c r="C15" s="44" t="s">
        <v>334</v>
      </c>
      <c r="D15" s="84">
        <f>VLOOKUP('3'!C29,тип_здания[],2,FALSE)</f>
        <v>0.5</v>
      </c>
      <c r="E15" s="36" t="s">
        <v>300</v>
      </c>
    </row>
    <row r="16" spans="2:11" ht="11.25" customHeight="1" x14ac:dyDescent="0.3"/>
    <row r="17" spans="2:15" x14ac:dyDescent="0.3">
      <c r="C17" s="36" t="s">
        <v>337</v>
      </c>
    </row>
    <row r="18" spans="2:15" ht="21.75" customHeight="1" x14ac:dyDescent="0.3"/>
    <row r="19" spans="2:15" ht="18.75" x14ac:dyDescent="0.35">
      <c r="C19" s="82" t="s">
        <v>296</v>
      </c>
      <c r="D19" s="137">
        <v>1.2</v>
      </c>
      <c r="E19" s="36" t="s">
        <v>338</v>
      </c>
    </row>
    <row r="20" spans="2:15" ht="18" x14ac:dyDescent="0.35">
      <c r="C20" s="44" t="s">
        <v>339</v>
      </c>
      <c r="D20" s="84">
        <f>D15*D19</f>
        <v>0.6</v>
      </c>
      <c r="E20" s="36" t="s">
        <v>328</v>
      </c>
    </row>
    <row r="21" spans="2:15" ht="20.25" customHeight="1" x14ac:dyDescent="0.3">
      <c r="B21" s="67" t="s">
        <v>340</v>
      </c>
    </row>
    <row r="22" spans="2:15" ht="16.5" customHeight="1" x14ac:dyDescent="0.3">
      <c r="C22" s="161" t="s">
        <v>341</v>
      </c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59"/>
    </row>
    <row r="23" spans="2:15" x14ac:dyDescent="0.3"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59"/>
    </row>
    <row r="24" spans="2:15" x14ac:dyDescent="0.3"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59"/>
    </row>
    <row r="25" spans="2:15" x14ac:dyDescent="0.3"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59"/>
    </row>
    <row r="26" spans="2:15" x14ac:dyDescent="0.3"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39"/>
    </row>
    <row r="27" spans="2:15" ht="18.75" customHeight="1" x14ac:dyDescent="0.3"/>
    <row r="28" spans="2:15" x14ac:dyDescent="0.3">
      <c r="C28" s="36" t="s">
        <v>342</v>
      </c>
    </row>
    <row r="29" spans="2:15" ht="18" x14ac:dyDescent="0.35">
      <c r="C29" s="44" t="s">
        <v>343</v>
      </c>
      <c r="D29" s="41">
        <v>1</v>
      </c>
    </row>
    <row r="30" spans="2:15" ht="18" x14ac:dyDescent="0.35">
      <c r="C30" s="44" t="s">
        <v>333</v>
      </c>
      <c r="D30" s="41">
        <v>0.9</v>
      </c>
    </row>
    <row r="31" spans="2:15" ht="18.75" x14ac:dyDescent="0.3">
      <c r="C31" s="85" t="s">
        <v>347</v>
      </c>
      <c r="D31" s="86">
        <f>I5</f>
        <v>6.0389042794773903E-4</v>
      </c>
      <c r="E31" s="87" t="s">
        <v>317</v>
      </c>
      <c r="F31" s="41"/>
      <c r="G31" s="85" t="s">
        <v>334</v>
      </c>
      <c r="H31" s="88">
        <f>D15*D30</f>
        <v>0.45</v>
      </c>
      <c r="I31" s="87" t="s">
        <v>328</v>
      </c>
    </row>
    <row r="32" spans="2:15" ht="18.75" x14ac:dyDescent="0.3">
      <c r="C32" s="85" t="s">
        <v>348</v>
      </c>
      <c r="D32" s="86">
        <f>D11</f>
        <v>8.4544659912683465E-4</v>
      </c>
      <c r="E32" s="87" t="s">
        <v>317</v>
      </c>
      <c r="F32" s="89"/>
      <c r="G32" s="85" t="s">
        <v>339</v>
      </c>
      <c r="H32" s="88">
        <f>D20*D30</f>
        <v>0.54</v>
      </c>
      <c r="I32" s="87" t="s">
        <v>328</v>
      </c>
    </row>
    <row r="33" spans="2:15" ht="25.5" customHeight="1" x14ac:dyDescent="0.3">
      <c r="C33" s="90"/>
      <c r="D33" s="91"/>
      <c r="E33" s="92"/>
      <c r="F33" s="89"/>
      <c r="G33" s="90"/>
      <c r="H33" s="93"/>
      <c r="I33" s="92"/>
      <c r="O33" s="46" t="str">
        <f ca="1">MID(CELL("имяфайла",M30),SEARCH("]",CELL("имяфайла",M30))+1,255)&amp;"/11"</f>
        <v>5/11</v>
      </c>
    </row>
    <row r="34" spans="2:15" ht="30" customHeight="1" x14ac:dyDescent="0.3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</row>
  </sheetData>
  <sheetProtection password="C737" sheet="1" objects="1" scenarios="1"/>
  <mergeCells count="1">
    <mergeCell ref="C22:N26"/>
  </mergeCells>
  <pageMargins left="0" right="0" top="0" bottom="0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30"/>
  <sheetViews>
    <sheetView view="pageBreakPreview" zoomScale="85" zoomScaleNormal="100" zoomScaleSheetLayoutView="85" workbookViewId="0">
      <selection activeCell="D24" sqref="D24"/>
    </sheetView>
  </sheetViews>
  <sheetFormatPr defaultRowHeight="16.5" x14ac:dyDescent="0.3"/>
  <cols>
    <col min="1" max="1" width="10.140625" style="36" customWidth="1"/>
    <col min="2" max="2" width="7.28515625" style="36" customWidth="1"/>
    <col min="3" max="3" width="37.42578125" style="36" customWidth="1"/>
    <col min="4" max="4" width="10.28515625" style="36" customWidth="1"/>
    <col min="5" max="6" width="9.140625" style="36"/>
    <col min="7" max="11" width="8.5703125" style="36" customWidth="1"/>
    <col min="12" max="12" width="20" style="36" customWidth="1"/>
    <col min="13" max="13" width="2.5703125" style="36" customWidth="1"/>
    <col min="14" max="16384" width="9.140625" style="36"/>
  </cols>
  <sheetData>
    <row r="1" spans="2:11" ht="14.25" customHeight="1" x14ac:dyDescent="0.3"/>
    <row r="2" spans="2:11" ht="18.75" x14ac:dyDescent="0.3">
      <c r="B2" s="37" t="s">
        <v>305</v>
      </c>
    </row>
    <row r="3" spans="2:11" x14ac:dyDescent="0.3">
      <c r="B3" s="94" t="s">
        <v>426</v>
      </c>
    </row>
    <row r="4" spans="2:11" x14ac:dyDescent="0.3">
      <c r="B4" s="94"/>
      <c r="C4" s="36" t="s">
        <v>429</v>
      </c>
    </row>
    <row r="5" spans="2:11" ht="18" x14ac:dyDescent="0.35">
      <c r="B5" s="94"/>
      <c r="C5" s="44" t="s">
        <v>430</v>
      </c>
      <c r="D5" s="95">
        <v>100</v>
      </c>
      <c r="E5" s="36" t="s">
        <v>427</v>
      </c>
    </row>
    <row r="6" spans="2:11" ht="18" x14ac:dyDescent="0.35">
      <c r="B6" s="94"/>
      <c r="C6" s="44" t="s">
        <v>430</v>
      </c>
      <c r="D6" s="95">
        <v>70</v>
      </c>
      <c r="E6" s="36" t="s">
        <v>428</v>
      </c>
    </row>
    <row r="7" spans="2:11" x14ac:dyDescent="0.3">
      <c r="C7" s="36" t="s">
        <v>448</v>
      </c>
    </row>
    <row r="8" spans="2:11" ht="30" customHeight="1" x14ac:dyDescent="0.3">
      <c r="D8" s="96" t="s">
        <v>431</v>
      </c>
    </row>
    <row r="9" spans="2:11" ht="18.75" customHeight="1" x14ac:dyDescent="0.3">
      <c r="C9" s="44"/>
      <c r="D9" s="97" t="s">
        <v>432</v>
      </c>
    </row>
    <row r="10" spans="2:11" x14ac:dyDescent="0.3">
      <c r="C10" s="44" t="s">
        <v>444</v>
      </c>
      <c r="D10" s="98">
        <v>0.72499999999999998</v>
      </c>
      <c r="E10" s="36" t="s">
        <v>433</v>
      </c>
    </row>
    <row r="11" spans="2:11" x14ac:dyDescent="0.3">
      <c r="C11" s="44" t="s">
        <v>445</v>
      </c>
      <c r="D11" s="95">
        <f>H</f>
        <v>2500</v>
      </c>
      <c r="E11" s="36" t="s">
        <v>319</v>
      </c>
    </row>
    <row r="12" spans="2:11" ht="18" x14ac:dyDescent="0.35">
      <c r="C12" s="44" t="s">
        <v>435</v>
      </c>
      <c r="D12" s="73">
        <f>D11*D10</f>
        <v>1812.5</v>
      </c>
      <c r="E12" s="36" t="s">
        <v>319</v>
      </c>
    </row>
    <row r="13" spans="2:11" x14ac:dyDescent="0.3">
      <c r="C13" s="44" t="s">
        <v>446</v>
      </c>
      <c r="D13" s="99">
        <f>'3'!K14</f>
        <v>4.9029999999999996</v>
      </c>
      <c r="E13" s="36" t="s">
        <v>436</v>
      </c>
    </row>
    <row r="14" spans="2:11" x14ac:dyDescent="0.3">
      <c r="C14" s="100" t="s">
        <v>447</v>
      </c>
      <c r="D14" s="73"/>
    </row>
    <row r="15" spans="2:11" ht="30" customHeight="1" x14ac:dyDescent="0.3">
      <c r="C15" s="44"/>
      <c r="D15" s="71">
        <f>IF('3'!$B$13="стойка",'6'!D12/10/IF('3'!C18='3'!C19,'6'!D5,'6'!D6),"")</f>
        <v>1.8125</v>
      </c>
      <c r="E15" s="68" t="s">
        <v>436</v>
      </c>
      <c r="J15" s="101"/>
    </row>
    <row r="16" spans="2:11" ht="33.75" customHeight="1" x14ac:dyDescent="0.3">
      <c r="D16" s="102">
        <f>IF('3'!$B$13="стойка",D12/10/D13,"")</f>
        <v>36.967162961452175</v>
      </c>
      <c r="E16" s="103" t="str">
        <f>IF('3'!$B$13="стойка",IF(D16&gt;=F16,"≥","≤"),"")</f>
        <v>≤</v>
      </c>
      <c r="F16" s="84">
        <f>IF('3'!$B$13="стойка",IF('3'!C18='3'!C19,D5,D6),"")</f>
        <v>100</v>
      </c>
      <c r="G16" s="162" t="str">
        <f>IF('3'!$B$13="стойка",IF(D16&gt;F16,"Не удовлетворяет условию гибкости","Удовлетворяет условию гибкости"),"")</f>
        <v>Удовлетворяет условию гибкости</v>
      </c>
      <c r="H16" s="163"/>
      <c r="I16" s="163"/>
      <c r="J16" s="163"/>
      <c r="K16" s="164"/>
    </row>
    <row r="17" spans="2:12" x14ac:dyDescent="0.3">
      <c r="C17" s="44"/>
      <c r="D17" s="102"/>
      <c r="E17" s="41"/>
      <c r="F17" s="84"/>
      <c r="G17" s="104" t="s">
        <v>412</v>
      </c>
      <c r="H17" s="104"/>
      <c r="I17" s="104"/>
      <c r="J17" s="104"/>
      <c r="K17" s="105">
        <f>IF('3'!$B$13="стойка",D16/F16,"")</f>
        <v>0.36967162961452177</v>
      </c>
    </row>
    <row r="18" spans="2:12" x14ac:dyDescent="0.3">
      <c r="C18" s="36" t="s">
        <v>452</v>
      </c>
    </row>
    <row r="19" spans="2:12" ht="30" customHeight="1" x14ac:dyDescent="0.3">
      <c r="D19" s="96" t="s">
        <v>431</v>
      </c>
    </row>
    <row r="20" spans="2:12" ht="18.75" customHeight="1" x14ac:dyDescent="0.3">
      <c r="C20" s="44"/>
      <c r="D20" s="97" t="s">
        <v>432</v>
      </c>
    </row>
    <row r="21" spans="2:12" x14ac:dyDescent="0.3">
      <c r="C21" s="44" t="s">
        <v>451</v>
      </c>
      <c r="D21" s="98">
        <v>0.5</v>
      </c>
      <c r="E21" s="36" t="s">
        <v>433</v>
      </c>
    </row>
    <row r="22" spans="2:12" x14ac:dyDescent="0.3">
      <c r="C22" s="44" t="s">
        <v>434</v>
      </c>
      <c r="D22" s="95">
        <f>MAX('3'!C24:C25)</f>
        <v>1030</v>
      </c>
      <c r="E22" s="36" t="s">
        <v>449</v>
      </c>
    </row>
    <row r="23" spans="2:12" ht="18" x14ac:dyDescent="0.35">
      <c r="C23" s="44" t="s">
        <v>435</v>
      </c>
      <c r="D23" s="73">
        <f>D22*D21</f>
        <v>515</v>
      </c>
      <c r="E23" s="36" t="s">
        <v>319</v>
      </c>
    </row>
    <row r="24" spans="2:12" x14ac:dyDescent="0.3">
      <c r="C24" s="44" t="s">
        <v>450</v>
      </c>
      <c r="D24" s="99">
        <f>'3'!L14</f>
        <v>2.1602154280285464</v>
      </c>
      <c r="E24" s="36" t="s">
        <v>436</v>
      </c>
    </row>
    <row r="25" spans="2:12" x14ac:dyDescent="0.3">
      <c r="B25" s="94"/>
      <c r="C25" s="100" t="s">
        <v>447</v>
      </c>
      <c r="D25" s="73"/>
    </row>
    <row r="26" spans="2:12" ht="30" customHeight="1" x14ac:dyDescent="0.3">
      <c r="C26" s="44"/>
      <c r="D26" s="71">
        <f>IF('3'!$B$13="стойка",'6'!D23/10/70,"")</f>
        <v>0.73571428571428577</v>
      </c>
      <c r="E26" s="68" t="s">
        <v>436</v>
      </c>
      <c r="J26" s="101"/>
    </row>
    <row r="27" spans="2:12" ht="30" customHeight="1" x14ac:dyDescent="0.3">
      <c r="D27" s="102">
        <f>IF('3'!$B$13="стойка",D23/10/D24,"")</f>
        <v>23.840214884031209</v>
      </c>
      <c r="E27" s="103" t="str">
        <f>IF('3'!$B$13="стойка",IF(D27&gt;=F27,"≥","≤"),"")</f>
        <v>≤</v>
      </c>
      <c r="F27" s="84">
        <f>IF('3'!$B$13="стойка",100,"")</f>
        <v>100</v>
      </c>
      <c r="G27" s="162" t="str">
        <f>IF('3'!$B$13="стойка",IF(D27&gt;F27,"Не удовлетворяет условию гибкости","Удовлетворяет условию гибкости"),"")</f>
        <v>Удовлетворяет условию гибкости</v>
      </c>
      <c r="H27" s="163"/>
      <c r="I27" s="163"/>
      <c r="J27" s="163"/>
      <c r="K27" s="164"/>
    </row>
    <row r="28" spans="2:12" x14ac:dyDescent="0.3">
      <c r="C28" s="44"/>
      <c r="D28" s="102"/>
      <c r="E28" s="41"/>
      <c r="F28" s="84"/>
      <c r="G28" s="104" t="s">
        <v>412</v>
      </c>
      <c r="H28" s="104"/>
      <c r="I28" s="104"/>
      <c r="J28" s="104"/>
      <c r="K28" s="105">
        <f>IF('3'!$B$13="стойка",D27/F27,"")</f>
        <v>0.23840214884031208</v>
      </c>
    </row>
    <row r="29" spans="2:12" ht="26.25" customHeight="1" x14ac:dyDescent="0.3">
      <c r="L29" s="46" t="str">
        <f ca="1">MID(CELL("имяфайла",P33),SEARCH("]",CELL("имяфайла",P33))+1,255)&amp;"/11"</f>
        <v>6/11</v>
      </c>
    </row>
    <row r="30" spans="2:12" ht="30" customHeight="1" x14ac:dyDescent="0.3">
      <c r="B30" s="45"/>
      <c r="C30" s="45"/>
      <c r="D30" s="45"/>
      <c r="E30" s="45"/>
      <c r="F30" s="45"/>
      <c r="G30" s="45"/>
      <c r="H30" s="45"/>
      <c r="I30" s="45"/>
      <c r="J30" s="45"/>
      <c r="K30" s="45"/>
    </row>
  </sheetData>
  <sheetProtection password="C737" sheet="1" objects="1" scenarios="1"/>
  <mergeCells count="2">
    <mergeCell ref="G16:K16"/>
    <mergeCell ref="G27:K27"/>
  </mergeCells>
  <conditionalFormatting sqref="G16:K16">
    <cfRule type="cellIs" dxfId="41" priority="13" operator="equal">
      <formula>"не удовлетворяет условию гибкости"</formula>
    </cfRule>
    <cfRule type="cellIs" dxfId="40" priority="14" operator="equal">
      <formula>"удовлетворяет условию гибкости"</formula>
    </cfRule>
  </conditionalFormatting>
  <conditionalFormatting sqref="K17">
    <cfRule type="expression" dxfId="39" priority="9">
      <formula>$K$17&gt;1</formula>
    </cfRule>
    <cfRule type="expression" dxfId="38" priority="10">
      <formula>$K$17&lt;1</formula>
    </cfRule>
  </conditionalFormatting>
  <conditionalFormatting sqref="K28">
    <cfRule type="expression" dxfId="37" priority="3">
      <formula>$K$28&gt;1</formula>
    </cfRule>
    <cfRule type="expression" dxfId="36" priority="4">
      <formula>$K$28&lt;1</formula>
    </cfRule>
  </conditionalFormatting>
  <conditionalFormatting sqref="G27:K27">
    <cfRule type="cellIs" dxfId="35" priority="1" operator="equal">
      <formula>"не удовлетворяет условию гибкости"</formula>
    </cfRule>
    <cfRule type="cellIs" dxfId="34" priority="2" operator="equal">
      <formula>"удовлетворяет условию гибкости"</formula>
    </cfRule>
  </conditionalFormatting>
  <pageMargins left="0" right="0" top="0" bottom="0" header="0.31496062992125984" footer="0.31496062992125984"/>
  <pageSetup paperSize="9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showWhiteSpace="0" view="pageBreakPreview" zoomScale="85" zoomScaleNormal="100" zoomScaleSheetLayoutView="85" workbookViewId="0">
      <selection activeCell="D7" sqref="D7"/>
    </sheetView>
  </sheetViews>
  <sheetFormatPr defaultRowHeight="16.5" x14ac:dyDescent="0.3"/>
  <cols>
    <col min="1" max="1" width="10.140625" style="36" customWidth="1"/>
    <col min="2" max="2" width="7.28515625" style="36" customWidth="1"/>
    <col min="3" max="3" width="37.42578125" style="36" customWidth="1"/>
    <col min="4" max="4" width="10.28515625" style="36" customWidth="1"/>
    <col min="5" max="6" width="9.140625" style="36"/>
    <col min="7" max="11" width="8.5703125" style="36" customWidth="1"/>
    <col min="12" max="12" width="20" style="36" customWidth="1"/>
    <col min="13" max="13" width="2.5703125" style="36" customWidth="1"/>
    <col min="14" max="16384" width="9.140625" style="36"/>
  </cols>
  <sheetData>
    <row r="1" spans="2:10" ht="14.25" customHeight="1" x14ac:dyDescent="0.3"/>
    <row r="2" spans="2:10" ht="18.75" x14ac:dyDescent="0.3">
      <c r="B2" s="37" t="s">
        <v>305</v>
      </c>
    </row>
    <row r="3" spans="2:10" x14ac:dyDescent="0.3">
      <c r="B3" s="94" t="s">
        <v>306</v>
      </c>
    </row>
    <row r="4" spans="2:10" x14ac:dyDescent="0.3">
      <c r="C4" s="36" t="s">
        <v>307</v>
      </c>
    </row>
    <row r="5" spans="2:10" ht="36.75" customHeight="1" x14ac:dyDescent="0.3">
      <c r="D5" s="96" t="s">
        <v>308</v>
      </c>
    </row>
    <row r="6" spans="2:10" ht="19.5" x14ac:dyDescent="0.35">
      <c r="C6" s="44" t="s">
        <v>311</v>
      </c>
      <c r="D6" s="106">
        <f>'3'!F14</f>
        <v>6.76</v>
      </c>
      <c r="E6" s="36" t="s">
        <v>312</v>
      </c>
    </row>
    <row r="7" spans="2:10" x14ac:dyDescent="0.3">
      <c r="C7" s="44" t="s">
        <v>309</v>
      </c>
      <c r="D7" s="99">
        <f>'3'!I14</f>
        <v>134.80000000000001</v>
      </c>
      <c r="E7" s="36" t="s">
        <v>310</v>
      </c>
    </row>
    <row r="8" spans="2:10" ht="18" x14ac:dyDescent="0.35">
      <c r="C8" s="44" t="s">
        <v>313</v>
      </c>
      <c r="D8" s="99">
        <v>1</v>
      </c>
      <c r="E8" s="36" t="s">
        <v>314</v>
      </c>
    </row>
    <row r="9" spans="2:10" x14ac:dyDescent="0.3">
      <c r="C9" s="36" t="s">
        <v>315</v>
      </c>
    </row>
    <row r="10" spans="2:10" x14ac:dyDescent="0.3">
      <c r="C10" s="36" t="s">
        <v>316</v>
      </c>
      <c r="J10" s="101"/>
    </row>
    <row r="11" spans="2:10" ht="32.25" customHeight="1" x14ac:dyDescent="0.3">
      <c r="D11" s="69">
        <f>D12*D13*D14^2/8</f>
        <v>528404.12445427163</v>
      </c>
      <c r="E11" s="68" t="s">
        <v>321</v>
      </c>
      <c r="F11" s="96"/>
    </row>
    <row r="12" spans="2:10" ht="18.75" x14ac:dyDescent="0.3">
      <c r="C12" s="44" t="s">
        <v>323</v>
      </c>
      <c r="D12" s="107">
        <f>'5'!$D$32</f>
        <v>8.4544659912683465E-4</v>
      </c>
      <c r="E12" s="36" t="s">
        <v>317</v>
      </c>
    </row>
    <row r="13" spans="2:10" ht="18" x14ac:dyDescent="0.35">
      <c r="C13" s="44" t="s">
        <v>318</v>
      </c>
      <c r="D13" s="69">
        <f>IF('3'!C16="угловая",AVERAGE('3'!C18,'3'!C19)*SIN(PI()/180*('3'!C20/2)),IF('3'!B13="Вертикальный ригель II уровня",(IF(H&lt;='3'!C18,H^2/4,H*1.5*'3'!C18/4)+IF(H&lt;='3'!C19,H^2/4,H*1.5*'3'!C19/4))/H,AVERAGE('3'!C18,'3'!C19)))</f>
        <v>800</v>
      </c>
      <c r="E13" s="36" t="s">
        <v>319</v>
      </c>
    </row>
    <row r="14" spans="2:10" x14ac:dyDescent="0.3">
      <c r="C14" s="44" t="s">
        <v>320</v>
      </c>
      <c r="D14" s="69">
        <f>H</f>
        <v>2500</v>
      </c>
      <c r="E14" s="36" t="s">
        <v>319</v>
      </c>
    </row>
    <row r="15" spans="2:10" x14ac:dyDescent="0.3">
      <c r="C15" s="36" t="s">
        <v>322</v>
      </c>
    </row>
    <row r="16" spans="2:10" ht="36.75" customHeight="1" x14ac:dyDescent="0.3">
      <c r="D16" s="108">
        <f>(D12*D13*D14^2+2*D18*D13*D17)^2/(8*D14^2*D12*D13)</f>
        <v>819390.70450291689</v>
      </c>
      <c r="E16" s="68" t="s">
        <v>321</v>
      </c>
    </row>
    <row r="17" spans="2:12" x14ac:dyDescent="0.3">
      <c r="C17" s="44" t="s">
        <v>324</v>
      </c>
      <c r="D17" s="69">
        <f>'3'!C28</f>
        <v>1200</v>
      </c>
      <c r="E17" s="36" t="s">
        <v>319</v>
      </c>
    </row>
    <row r="18" spans="2:12" x14ac:dyDescent="0.3">
      <c r="C18" s="44" t="s">
        <v>327</v>
      </c>
      <c r="D18" s="71">
        <f>'5'!$H$32</f>
        <v>0.54</v>
      </c>
      <c r="E18" s="36" t="s">
        <v>328</v>
      </c>
    </row>
    <row r="19" spans="2:12" x14ac:dyDescent="0.3">
      <c r="C19" s="36" t="s">
        <v>330</v>
      </c>
    </row>
    <row r="20" spans="2:12" ht="19.5" x14ac:dyDescent="0.35">
      <c r="C20" s="44" t="s">
        <v>329</v>
      </c>
      <c r="D20" s="102">
        <f>IF('3'!C30="да",D16/D7/D8,D11/D7/D8)/1000</f>
        <v>6.0785660571433002</v>
      </c>
      <c r="E20" s="36" t="s">
        <v>312</v>
      </c>
    </row>
    <row r="21" spans="2:12" ht="33.75" customHeight="1" x14ac:dyDescent="0.3">
      <c r="D21" s="102">
        <f>IF('3'!C30="да",D16/D6/D7/D8/1000,D11/D6/D7/D8/1000)</f>
        <v>0.89919616229930477</v>
      </c>
      <c r="E21" s="103" t="str">
        <f>IF(D21&gt;=F21,"≥","≤")</f>
        <v>≤</v>
      </c>
      <c r="F21" s="84">
        <v>1</v>
      </c>
      <c r="G21" s="165" t="str">
        <f>IF(D21&gt;F21,"Не удовлетворяет условию прочности","Удовлетворяет условию прочности")</f>
        <v>Удовлетворяет условию прочности</v>
      </c>
      <c r="H21" s="166"/>
      <c r="I21" s="166"/>
      <c r="J21" s="166"/>
      <c r="K21" s="167"/>
    </row>
    <row r="22" spans="2:12" x14ac:dyDescent="0.3">
      <c r="D22" s="102"/>
      <c r="E22" s="41"/>
      <c r="F22" s="84"/>
      <c r="G22" s="104" t="s">
        <v>412</v>
      </c>
      <c r="H22" s="104"/>
      <c r="I22" s="104"/>
      <c r="J22" s="104"/>
      <c r="K22" s="105">
        <f>D21/F21</f>
        <v>0.89919616229930477</v>
      </c>
    </row>
    <row r="23" spans="2:12" x14ac:dyDescent="0.3">
      <c r="D23" s="102"/>
      <c r="E23" s="103"/>
      <c r="F23" s="84"/>
      <c r="G23" s="96"/>
    </row>
    <row r="24" spans="2:12" x14ac:dyDescent="0.3">
      <c r="D24" s="102"/>
      <c r="E24" s="103"/>
      <c r="F24" s="84"/>
      <c r="G24" s="96"/>
    </row>
    <row r="25" spans="2:12" x14ac:dyDescent="0.3">
      <c r="B25" s="94"/>
    </row>
    <row r="27" spans="2:12" x14ac:dyDescent="0.3">
      <c r="D27" s="96"/>
    </row>
    <row r="28" spans="2:12" x14ac:dyDescent="0.3">
      <c r="C28" s="44"/>
    </row>
    <row r="29" spans="2:12" x14ac:dyDescent="0.3">
      <c r="C29" s="44"/>
    </row>
    <row r="30" spans="2:12" ht="21" customHeight="1" x14ac:dyDescent="0.3">
      <c r="L30" s="46" t="str">
        <f ca="1">MID(CELL("имяфайла",P34),SEARCH("]",CELL("имяфайла",P34))+1,255)&amp;"/11"</f>
        <v>7/11</v>
      </c>
    </row>
    <row r="31" spans="2:12" ht="30" customHeight="1" x14ac:dyDescent="0.3">
      <c r="B31" s="45"/>
      <c r="C31" s="45"/>
      <c r="D31" s="45"/>
      <c r="E31" s="45"/>
      <c r="F31" s="45"/>
      <c r="G31" s="45"/>
      <c r="H31" s="45"/>
      <c r="I31" s="45"/>
      <c r="J31" s="45"/>
      <c r="K31" s="45"/>
    </row>
  </sheetData>
  <sheetProtection password="C737" sheet="1" objects="1" scenarios="1"/>
  <mergeCells count="1">
    <mergeCell ref="G21:K21"/>
  </mergeCells>
  <conditionalFormatting sqref="G21:K21">
    <cfRule type="cellIs" dxfId="33" priority="5" operator="equal">
      <formula>"не удовлетворяет условию прочности"</formula>
    </cfRule>
    <cfRule type="cellIs" dxfId="32" priority="6" operator="equal">
      <formula>"удовлетворяет условию прочности"</formula>
    </cfRule>
  </conditionalFormatting>
  <conditionalFormatting sqref="K22">
    <cfRule type="expression" dxfId="31" priority="1">
      <formula>$K$22&gt;1</formula>
    </cfRule>
    <cfRule type="expression" dxfId="30" priority="2">
      <formula>$K$22&lt;1</formula>
    </cfRule>
  </conditionalFormatting>
  <pageMargins left="0" right="0" top="0" bottom="0" header="0.31496062992125984" footer="0.31496062992125984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2CBBD364-201B-436C-85DA-628ACF40F69E}">
            <xm:f>'3'!$C$30="да"</xm:f>
            <x14:dxf>
              <font>
                <b/>
                <i val="0"/>
              </font>
            </x14:dxf>
          </x14:cfRule>
          <xm:sqref>D16</xm:sqref>
        </x14:conditionalFormatting>
        <x14:conditionalFormatting xmlns:xm="http://schemas.microsoft.com/office/excel/2006/main">
          <x14:cfRule type="expression" priority="3" id="{B1B6E87B-22AA-4971-80FD-A97F63444316}">
            <xm:f>'3'!$C$30="нет"</xm:f>
            <x14:dxf>
              <font>
                <b/>
                <i val="0"/>
              </font>
            </x14:dxf>
          </x14:cfRule>
          <xm:sqref>D11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9"/>
  <sheetViews>
    <sheetView view="pageBreakPreview" zoomScale="85" zoomScaleNormal="100" zoomScaleSheetLayoutView="85" zoomScalePageLayoutView="80" workbookViewId="0">
      <selection activeCell="L22" sqref="L22"/>
    </sheetView>
  </sheetViews>
  <sheetFormatPr defaultRowHeight="16.5" x14ac:dyDescent="0.3"/>
  <cols>
    <col min="1" max="1" width="10.140625" style="36" customWidth="1"/>
    <col min="2" max="2" width="7.28515625" style="36" customWidth="1"/>
    <col min="3" max="3" width="39.42578125" style="36" customWidth="1"/>
    <col min="4" max="4" width="10.28515625" style="36" customWidth="1"/>
    <col min="5" max="6" width="9.140625" style="36"/>
    <col min="7" max="7" width="3.28515625" style="36" bestFit="1" customWidth="1"/>
    <col min="8" max="12" width="8.5703125" style="36" customWidth="1"/>
    <col min="13" max="13" width="14.7109375" style="36" customWidth="1"/>
    <col min="14" max="14" width="2.5703125" style="36" customWidth="1"/>
    <col min="15" max="16384" width="9.140625" style="36"/>
  </cols>
  <sheetData>
    <row r="1" spans="2:6" ht="14.25" customHeight="1" x14ac:dyDescent="0.3"/>
    <row r="2" spans="2:6" ht="18.75" x14ac:dyDescent="0.3">
      <c r="B2" s="37" t="s">
        <v>305</v>
      </c>
    </row>
    <row r="3" spans="2:6" x14ac:dyDescent="0.3">
      <c r="B3" s="94" t="s">
        <v>399</v>
      </c>
    </row>
    <row r="4" spans="2:6" x14ac:dyDescent="0.3">
      <c r="C4" s="36" t="s">
        <v>344</v>
      </c>
    </row>
    <row r="5" spans="2:6" ht="20.25" customHeight="1" x14ac:dyDescent="0.3">
      <c r="D5" s="96" t="s">
        <v>308</v>
      </c>
    </row>
    <row r="6" spans="2:6" ht="18" x14ac:dyDescent="0.35">
      <c r="C6" s="100" t="s">
        <v>361</v>
      </c>
      <c r="D6" s="99"/>
    </row>
    <row r="7" spans="2:6" ht="30.75" customHeight="1" x14ac:dyDescent="0.3">
      <c r="C7" s="44"/>
      <c r="D7" s="97" t="s">
        <v>345</v>
      </c>
      <c r="E7" s="96"/>
    </row>
    <row r="8" spans="2:6" ht="30" customHeight="1" x14ac:dyDescent="0.3">
      <c r="C8" s="44"/>
      <c r="D8" s="97" t="s">
        <v>401</v>
      </c>
      <c r="E8" s="96"/>
    </row>
    <row r="9" spans="2:6" ht="30.75" customHeight="1" x14ac:dyDescent="0.3">
      <c r="C9" s="44"/>
      <c r="D9" s="97" t="s">
        <v>346</v>
      </c>
    </row>
    <row r="10" spans="2:6" ht="30" customHeight="1" x14ac:dyDescent="0.3">
      <c r="C10" s="44"/>
      <c r="D10" s="97" t="s">
        <v>402</v>
      </c>
    </row>
    <row r="11" spans="2:6" x14ac:dyDescent="0.3">
      <c r="C11" s="44" t="s">
        <v>349</v>
      </c>
      <c r="D11" s="71">
        <f>D14/200</f>
        <v>12.5</v>
      </c>
      <c r="E11" s="36" t="s">
        <v>408</v>
      </c>
    </row>
    <row r="12" spans="2:6" ht="18.75" x14ac:dyDescent="0.3">
      <c r="C12" s="44" t="s">
        <v>350</v>
      </c>
      <c r="D12" s="107">
        <f>'5'!D31</f>
        <v>6.0389042794773903E-4</v>
      </c>
      <c r="E12" s="36" t="s">
        <v>317</v>
      </c>
    </row>
    <row r="13" spans="2:6" ht="18" x14ac:dyDescent="0.35">
      <c r="C13" s="44" t="s">
        <v>318</v>
      </c>
      <c r="D13" s="69">
        <f>IF('3'!C16="угловая",AVERAGE('3'!C18,'3'!C19)*SIN(PI()/180*('3'!C20/2)),IF('3'!B13="Вертикальный ригель II уровня",(IF(H&lt;='3'!C18,H^2/4,H*1.5*'3'!C18/4)+IF(H&lt;='3'!C19,H^2/4,H*1.5*'3'!C19/4))/H,AVERAGE('3'!C18,'3'!C19)))</f>
        <v>800</v>
      </c>
      <c r="E13" s="36" t="s">
        <v>319</v>
      </c>
    </row>
    <row r="14" spans="2:6" x14ac:dyDescent="0.3">
      <c r="C14" s="44" t="s">
        <v>320</v>
      </c>
      <c r="D14" s="69">
        <f>H</f>
        <v>2500</v>
      </c>
      <c r="E14" s="36" t="s">
        <v>319</v>
      </c>
      <c r="F14" s="96"/>
    </row>
    <row r="15" spans="2:6" ht="18.75" x14ac:dyDescent="0.3">
      <c r="C15" s="44" t="s">
        <v>351</v>
      </c>
      <c r="D15" s="69">
        <v>70000</v>
      </c>
      <c r="E15" s="36" t="s">
        <v>376</v>
      </c>
    </row>
    <row r="16" spans="2:6" ht="18.75" x14ac:dyDescent="0.3">
      <c r="C16" s="44" t="s">
        <v>352</v>
      </c>
      <c r="D16" s="102">
        <f>'3'!E14</f>
        <v>22.88</v>
      </c>
      <c r="E16" s="36" t="s">
        <v>353</v>
      </c>
    </row>
    <row r="17" spans="2:13" x14ac:dyDescent="0.3">
      <c r="C17" s="44" t="s">
        <v>327</v>
      </c>
      <c r="D17" s="71">
        <f>'5'!H31</f>
        <v>0.45</v>
      </c>
      <c r="E17" s="36" t="s">
        <v>328</v>
      </c>
    </row>
    <row r="18" spans="2:13" x14ac:dyDescent="0.3">
      <c r="C18" s="44" t="s">
        <v>324</v>
      </c>
      <c r="D18" s="69">
        <f>'3'!C28</f>
        <v>1200</v>
      </c>
      <c r="E18" s="36" t="s">
        <v>319</v>
      </c>
    </row>
    <row r="19" spans="2:13" x14ac:dyDescent="0.3">
      <c r="C19" s="36" t="s">
        <v>354</v>
      </c>
    </row>
    <row r="20" spans="2:13" ht="30" customHeight="1" x14ac:dyDescent="0.3">
      <c r="F20" s="96" t="s">
        <v>355</v>
      </c>
    </row>
    <row r="21" spans="2:13" ht="30" customHeight="1" x14ac:dyDescent="0.3">
      <c r="F21" s="96" t="s">
        <v>403</v>
      </c>
    </row>
    <row r="22" spans="2:13" x14ac:dyDescent="0.3">
      <c r="C22" s="36" t="s">
        <v>356</v>
      </c>
    </row>
    <row r="23" spans="2:13" ht="19.5" x14ac:dyDescent="0.35">
      <c r="C23" s="109" t="s">
        <v>357</v>
      </c>
      <c r="D23" s="110">
        <f>IF('3'!C30="да",IF('3'!C15="однопролётная",0.013*D12*D13*D14^4/(D15*F27)+D17*D13*D18*(3*D14^2-4*D18^2)/(48*D15*F27),1/185*D12*D13*D14^4/(D15*F27)+D17*D13*D18*(5*D14^2-3*D18^2)/(96*D15*F27))/10000,IF('3'!C15="однопролётная",0.013*D12*D13*D14^4/(D15*F27),1/185*D12*D13*D14^4/(D15*F27))/10000)</f>
        <v>41.398912726145028</v>
      </c>
      <c r="E23" s="36" t="s">
        <v>353</v>
      </c>
      <c r="I23" s="111"/>
    </row>
    <row r="24" spans="2:13" ht="18" x14ac:dyDescent="0.35">
      <c r="C24" s="109"/>
      <c r="D24" s="110"/>
      <c r="I24" s="111"/>
    </row>
    <row r="25" spans="2:13" ht="18" x14ac:dyDescent="0.35">
      <c r="C25" s="44" t="s">
        <v>359</v>
      </c>
      <c r="D25" s="110">
        <f>IF('3'!C15="однопролётная",5/384*D12*D13*D14^4/(D15*D16*10000),1/185*D12*D13*D14^4/(D15*D16*10000))</f>
        <v>15.342385376152855</v>
      </c>
      <c r="E25" s="36" t="s">
        <v>319</v>
      </c>
    </row>
    <row r="26" spans="2:13" ht="18" x14ac:dyDescent="0.35">
      <c r="C26" s="44" t="s">
        <v>360</v>
      </c>
      <c r="D26" s="110">
        <f>IF('3'!C30="да",IF('3'!C15="однопролётная",1/48*D17*D13*D18/(D15*D16*10000)*(3*D14^2-4*D18^2),D17*D13*D18*(3*D14^2-5*D18^2)/(96*D15*D16*10000)),0)</f>
        <v>7.2995754245754245</v>
      </c>
      <c r="E26" s="36" t="s">
        <v>319</v>
      </c>
    </row>
    <row r="27" spans="2:13" ht="22.5" customHeight="1" x14ac:dyDescent="0.3">
      <c r="C27" s="112" t="s">
        <v>358</v>
      </c>
      <c r="D27" s="102">
        <f>D25+D26</f>
        <v>22.641960800728278</v>
      </c>
      <c r="E27" s="41" t="str">
        <f>IF(D27&gt;=F27,"мм &gt;[f] =","мм &lt;[f] =")</f>
        <v>мм &gt;[f] =</v>
      </c>
      <c r="F27" s="102">
        <f>D11</f>
        <v>12.5</v>
      </c>
      <c r="G27" s="68" t="s">
        <v>319</v>
      </c>
      <c r="H27" s="165" t="str">
        <f>IF(D27&gt;F27,"Не удовлетворяет условию прогиба","Удовлетворяет условию прогиба")</f>
        <v>Не удовлетворяет условию прогиба</v>
      </c>
      <c r="I27" s="166"/>
      <c r="J27" s="166"/>
      <c r="K27" s="166"/>
      <c r="L27" s="166"/>
      <c r="M27" s="113"/>
    </row>
    <row r="28" spans="2:13" ht="29.25" customHeight="1" x14ac:dyDescent="0.3">
      <c r="C28" s="114"/>
      <c r="D28" s="115"/>
      <c r="E28" s="116"/>
      <c r="F28" s="115"/>
      <c r="G28" s="104"/>
      <c r="H28" s="104" t="s">
        <v>412</v>
      </c>
      <c r="I28" s="104"/>
      <c r="J28" s="104"/>
      <c r="K28" s="104"/>
      <c r="L28" s="105">
        <f>D27/F27</f>
        <v>1.8113568640582622</v>
      </c>
      <c r="M28" s="46" t="str">
        <f ca="1">MID(CELL("имяфайла",Q36),SEARCH("]",CELL("имяфайла",Q36))+1,255)&amp;"/11"</f>
        <v>8/11</v>
      </c>
    </row>
    <row r="29" spans="2:13" ht="30" customHeight="1" x14ac:dyDescent="0.3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</row>
  </sheetData>
  <sheetProtection password="C737" sheet="1" objects="1" scenarios="1"/>
  <mergeCells count="1">
    <mergeCell ref="H27:L27"/>
  </mergeCells>
  <conditionalFormatting sqref="H27:L27">
    <cfRule type="cellIs" dxfId="27" priority="5" operator="equal">
      <formula>"не удовлетворяет условию прогиба"</formula>
    </cfRule>
    <cfRule type="cellIs" dxfId="26" priority="6" operator="equal">
      <formula>"удовлетворяет условию прогиба"</formula>
    </cfRule>
  </conditionalFormatting>
  <conditionalFormatting sqref="M27">
    <cfRule type="expression" dxfId="25" priority="3">
      <formula>$M$27&lt;0</formula>
    </cfRule>
    <cfRule type="expression" dxfId="24" priority="4">
      <formula>$M$27&gt;0</formula>
    </cfRule>
  </conditionalFormatting>
  <conditionalFormatting sqref="L28">
    <cfRule type="expression" dxfId="23" priority="1">
      <formula>$L$28&gt;1</formula>
    </cfRule>
    <cfRule type="expression" dxfId="22" priority="2">
      <formula>$L$28&lt;1</formula>
    </cfRule>
  </conditionalFormatting>
  <pageMargins left="0" right="0" top="0" bottom="0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1"/>
  <sheetViews>
    <sheetView view="pageBreakPreview" zoomScale="85" zoomScaleNormal="100" zoomScaleSheetLayoutView="85" workbookViewId="0">
      <selection activeCell="L25" sqref="L25"/>
    </sheetView>
  </sheetViews>
  <sheetFormatPr defaultRowHeight="16.5" x14ac:dyDescent="0.3"/>
  <cols>
    <col min="1" max="1" width="10.140625" style="36" customWidth="1"/>
    <col min="2" max="2" width="7.28515625" style="36" customWidth="1"/>
    <col min="3" max="3" width="37.42578125" style="36" customWidth="1"/>
    <col min="4" max="4" width="9.5703125" style="36" customWidth="1"/>
    <col min="5" max="5" width="9.140625" style="36"/>
    <col min="6" max="6" width="9.28515625" style="36" bestFit="1" customWidth="1"/>
    <col min="7" max="11" width="8.5703125" style="36" customWidth="1"/>
    <col min="12" max="12" width="20.7109375" style="36" customWidth="1"/>
    <col min="13" max="13" width="2.42578125" style="36" customWidth="1"/>
    <col min="14" max="16384" width="9.140625" style="36"/>
  </cols>
  <sheetData>
    <row r="1" spans="2:15" ht="13.5" customHeight="1" x14ac:dyDescent="0.3"/>
    <row r="2" spans="2:15" ht="18.75" x14ac:dyDescent="0.3">
      <c r="B2" s="37" t="s">
        <v>362</v>
      </c>
    </row>
    <row r="3" spans="2:15" x14ac:dyDescent="0.3">
      <c r="B3" s="117" t="s">
        <v>363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</row>
    <row r="4" spans="2:15" ht="16.5" customHeight="1" x14ac:dyDescent="0.3">
      <c r="C4" s="104" t="s">
        <v>458</v>
      </c>
      <c r="D4" s="104"/>
      <c r="E4" s="104"/>
      <c r="F4" s="104"/>
      <c r="G4" s="104"/>
      <c r="H4" s="104"/>
      <c r="I4" s="104"/>
      <c r="J4" s="104"/>
      <c r="K4" s="104"/>
      <c r="L4" s="104"/>
      <c r="M4" s="59"/>
      <c r="N4" s="59"/>
      <c r="O4" s="59"/>
    </row>
    <row r="5" spans="2:15" ht="30" customHeight="1" x14ac:dyDescent="0.3">
      <c r="D5" s="96" t="s">
        <v>453</v>
      </c>
      <c r="F5" s="96"/>
    </row>
    <row r="6" spans="2:15" ht="30" customHeight="1" x14ac:dyDescent="0.3">
      <c r="D6" s="96" t="s">
        <v>364</v>
      </c>
      <c r="F6" s="96"/>
    </row>
    <row r="7" spans="2:15" x14ac:dyDescent="0.3">
      <c r="C7" s="36" t="s">
        <v>367</v>
      </c>
      <c r="D7" s="96"/>
      <c r="F7" s="96"/>
    </row>
    <row r="8" spans="2:15" x14ac:dyDescent="0.3">
      <c r="C8" s="36" t="s">
        <v>316</v>
      </c>
    </row>
    <row r="9" spans="2:15" ht="28.5" customHeight="1" x14ac:dyDescent="0.3">
      <c r="D9" s="69">
        <f>D10*D11*D12^2/8</f>
        <v>137481.50611082351</v>
      </c>
      <c r="E9" s="96" t="s">
        <v>366</v>
      </c>
    </row>
    <row r="10" spans="2:15" ht="18.75" x14ac:dyDescent="0.3">
      <c r="C10" s="44" t="s">
        <v>323</v>
      </c>
      <c r="D10" s="107">
        <f>'5'!$D$12</f>
        <v>8.4544659912683465E-4</v>
      </c>
      <c r="E10" s="36" t="s">
        <v>317</v>
      </c>
    </row>
    <row r="11" spans="2:15" ht="18" x14ac:dyDescent="0.35">
      <c r="C11" s="44" t="s">
        <v>318</v>
      </c>
      <c r="D11" s="69">
        <f>(IF('3'!C23&lt;='3'!C24,'3'!C23*'3'!C23/4,'3'!C24*(2*'3'!$C$23-'3'!$C$24)/4)+IF('3'!C23&lt;='3'!C25,'3'!C23*'3'!C23/4,'3'!C25*(2*'3'!$C$23-'3'!$C$25)/4))/'3'!C23</f>
        <v>578.18333333333328</v>
      </c>
      <c r="E11" s="36" t="s">
        <v>319</v>
      </c>
    </row>
    <row r="12" spans="2:15" x14ac:dyDescent="0.3">
      <c r="C12" s="44" t="s">
        <v>365</v>
      </c>
      <c r="D12" s="69">
        <f>B</f>
        <v>1500</v>
      </c>
      <c r="E12" s="36" t="s">
        <v>319</v>
      </c>
    </row>
    <row r="13" spans="2:15" x14ac:dyDescent="0.3">
      <c r="C13" s="36" t="s">
        <v>322</v>
      </c>
    </row>
    <row r="14" spans="2:15" ht="28.5" customHeight="1" x14ac:dyDescent="0.3">
      <c r="D14" s="69">
        <f>(D10*D11+D15)*D12^2/8</f>
        <v>289356.50611082348</v>
      </c>
      <c r="E14" s="96" t="s">
        <v>366</v>
      </c>
    </row>
    <row r="15" spans="2:15" x14ac:dyDescent="0.3">
      <c r="C15" s="44" t="s">
        <v>327</v>
      </c>
      <c r="D15" s="71">
        <f>'5'!$H$32</f>
        <v>0.54</v>
      </c>
      <c r="E15" s="36" t="s">
        <v>328</v>
      </c>
    </row>
    <row r="16" spans="2:15" ht="19.5" x14ac:dyDescent="0.35">
      <c r="C16" s="44" t="s">
        <v>454</v>
      </c>
      <c r="D16" s="71">
        <f>'3'!F22</f>
        <v>6.76</v>
      </c>
      <c r="E16" s="36" t="s">
        <v>312</v>
      </c>
    </row>
    <row r="17" spans="2:12" x14ac:dyDescent="0.3">
      <c r="C17" s="44" t="s">
        <v>309</v>
      </c>
      <c r="D17" s="99">
        <f>'3'!I22</f>
        <v>134.80000000000001</v>
      </c>
      <c r="E17" s="36" t="s">
        <v>310</v>
      </c>
    </row>
    <row r="18" spans="2:12" ht="18" x14ac:dyDescent="0.35">
      <c r="C18" s="44" t="s">
        <v>313</v>
      </c>
      <c r="D18" s="99">
        <v>1</v>
      </c>
      <c r="E18" s="36" t="s">
        <v>314</v>
      </c>
    </row>
    <row r="19" spans="2:12" x14ac:dyDescent="0.3">
      <c r="C19" s="44" t="s">
        <v>456</v>
      </c>
      <c r="D19" s="119">
        <f>IF('3'!C31="да",D14/(D16*1000*D17*D18),D9/(D16*1000*D17*D18))</f>
        <v>0.31753870089242825</v>
      </c>
      <c r="E19" s="65">
        <f>D9/D17/1000</f>
        <v>1.0198924785669399</v>
      </c>
    </row>
    <row r="20" spans="2:12" x14ac:dyDescent="0.3">
      <c r="C20" s="44"/>
      <c r="D20" s="120"/>
    </row>
    <row r="21" spans="2:12" x14ac:dyDescent="0.3">
      <c r="C21" s="36" t="s">
        <v>368</v>
      </c>
    </row>
    <row r="22" spans="2:12" x14ac:dyDescent="0.3">
      <c r="C22" s="36" t="s">
        <v>369</v>
      </c>
    </row>
    <row r="23" spans="2:12" x14ac:dyDescent="0.3">
      <c r="D23" s="121">
        <f>D25*D26</f>
        <v>37499.977350000001</v>
      </c>
      <c r="E23" s="96" t="s">
        <v>366</v>
      </c>
    </row>
    <row r="24" spans="2:12" x14ac:dyDescent="0.3">
      <c r="C24" s="44" t="s">
        <v>370</v>
      </c>
      <c r="D24" s="71">
        <f>1.1*'3'!C11*'3'!C23*'3'!C24*24.517/1000000</f>
        <v>749.99954700000001</v>
      </c>
      <c r="E24" s="36" t="s">
        <v>372</v>
      </c>
    </row>
    <row r="25" spans="2:12" x14ac:dyDescent="0.3">
      <c r="C25" s="44" t="s">
        <v>371</v>
      </c>
      <c r="D25" s="71">
        <f>D24/2</f>
        <v>374.9997735</v>
      </c>
      <c r="E25" s="36" t="s">
        <v>372</v>
      </c>
    </row>
    <row r="26" spans="2:12" x14ac:dyDescent="0.3">
      <c r="C26" s="112" t="s">
        <v>373</v>
      </c>
      <c r="D26" s="41">
        <f>'3'!C26</f>
        <v>100</v>
      </c>
      <c r="E26" s="36" t="s">
        <v>374</v>
      </c>
    </row>
    <row r="27" spans="2:12" ht="19.5" x14ac:dyDescent="0.35">
      <c r="C27" s="44" t="s">
        <v>455</v>
      </c>
      <c r="D27" s="71">
        <f>'3'!H22</f>
        <v>6.06</v>
      </c>
      <c r="E27" s="36" t="s">
        <v>312</v>
      </c>
    </row>
    <row r="28" spans="2:12" x14ac:dyDescent="0.3">
      <c r="C28" s="44" t="s">
        <v>457</v>
      </c>
      <c r="D28" s="122">
        <f>D23/(D27*1000*D17*D18)</f>
        <v>4.5905898176983866E-2</v>
      </c>
      <c r="E28" s="65">
        <f>D23/D17/1000</f>
        <v>0.27818974295252225</v>
      </c>
    </row>
    <row r="29" spans="2:12" ht="33" customHeight="1" x14ac:dyDescent="0.3">
      <c r="D29" s="119">
        <f>D19+D28</f>
        <v>0.36344459906941212</v>
      </c>
      <c r="E29" s="103" t="str">
        <f>IF(D29&gt;=F29,"&gt;","≤")</f>
        <v>≤</v>
      </c>
      <c r="F29" s="84">
        <v>1</v>
      </c>
      <c r="G29" s="165" t="str">
        <f>IF(D29&gt;F29,"Не удовлетворяет условию прочности","Удовлетворяет условию прочности")</f>
        <v>Удовлетворяет условию прочности</v>
      </c>
      <c r="H29" s="166"/>
      <c r="I29" s="166"/>
      <c r="J29" s="166"/>
      <c r="K29" s="167"/>
      <c r="L29" s="113"/>
    </row>
    <row r="30" spans="2:12" ht="27.75" customHeight="1" x14ac:dyDescent="0.3">
      <c r="G30" s="104" t="s">
        <v>412</v>
      </c>
      <c r="H30" s="104"/>
      <c r="I30" s="104"/>
      <c r="J30" s="104"/>
      <c r="K30" s="105">
        <f>D29/F29</f>
        <v>0.36344459906941212</v>
      </c>
      <c r="L30" s="46" t="str">
        <f ca="1">MID(CELL("имяфайла",T45),SEARCH("]",CELL("имяфайла",T45))+1,255)&amp;"/11"</f>
        <v>9/11</v>
      </c>
    </row>
    <row r="31" spans="2:12" ht="30" customHeight="1" x14ac:dyDescent="0.3">
      <c r="B31" s="45"/>
      <c r="C31" s="45"/>
      <c r="D31" s="45"/>
      <c r="E31" s="45"/>
      <c r="F31" s="45"/>
      <c r="G31" s="45"/>
      <c r="H31" s="45"/>
      <c r="I31" s="45"/>
      <c r="J31" s="45"/>
      <c r="K31" s="45"/>
    </row>
  </sheetData>
  <sheetProtection password="C737" sheet="1" objects="1" scenarios="1"/>
  <mergeCells count="1">
    <mergeCell ref="G29:K29"/>
  </mergeCells>
  <conditionalFormatting sqref="G29:K29">
    <cfRule type="cellIs" dxfId="21" priority="5" operator="equal">
      <formula>"не удовлетворяет условию прочности"</formula>
    </cfRule>
    <cfRule type="cellIs" dxfId="20" priority="6" operator="equal">
      <formula>"удовлетворяет условию прочности"</formula>
    </cfRule>
  </conditionalFormatting>
  <conditionalFormatting sqref="L29">
    <cfRule type="expression" dxfId="19" priority="3">
      <formula>$L$29&lt;0</formula>
    </cfRule>
    <cfRule type="expression" dxfId="18" priority="4">
      <formula>$L$29&gt;0</formula>
    </cfRule>
  </conditionalFormatting>
  <conditionalFormatting sqref="K30">
    <cfRule type="expression" dxfId="17" priority="1">
      <formula>$K$30&gt;1</formula>
    </cfRule>
    <cfRule type="expression" dxfId="16" priority="2">
      <formula>$K$30&lt;1</formula>
    </cfRule>
  </conditionalFormatting>
  <pageMargins left="0" right="0" top="0" bottom="0" header="0.31496062992125984" footer="0.31496062992125984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1491EFC2-D01F-4273-B0BD-4012E1DD56F6}">
            <xm:f>'3'!$C$31="нет"</xm:f>
            <x14:dxf>
              <font>
                <b/>
                <i val="0"/>
              </font>
            </x14:dxf>
          </x14:cfRule>
          <xm:sqref>D9</xm:sqref>
        </x14:conditionalFormatting>
        <x14:conditionalFormatting xmlns:xm="http://schemas.microsoft.com/office/excel/2006/main">
          <x14:cfRule type="expression" priority="9" id="{27EE123E-D2B8-4987-9DB3-2EA23C1D024C}">
            <xm:f>'3'!$C$31="да"</xm:f>
            <x14:dxf>
              <font>
                <b/>
                <i val="0"/>
              </font>
            </x14:dxf>
          </x14:cfRule>
          <xm:sqref>D14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view="pageBreakPreview" zoomScale="85" zoomScaleNormal="100" zoomScaleSheetLayoutView="85" zoomScalePageLayoutView="80" workbookViewId="0">
      <selection activeCell="J16" sqref="J16"/>
    </sheetView>
  </sheetViews>
  <sheetFormatPr defaultRowHeight="16.5" x14ac:dyDescent="0.3"/>
  <cols>
    <col min="1" max="1" width="10.140625" style="36" customWidth="1"/>
    <col min="2" max="2" width="7.28515625" style="36" customWidth="1"/>
    <col min="3" max="3" width="40" style="36" customWidth="1"/>
    <col min="4" max="4" width="11.7109375" style="36" bestFit="1" customWidth="1"/>
    <col min="5" max="7" width="8.42578125" style="36" customWidth="1"/>
    <col min="8" max="12" width="8.5703125" style="36" customWidth="1"/>
    <col min="13" max="13" width="9" style="36" customWidth="1"/>
    <col min="14" max="14" width="2.5703125" style="36" customWidth="1"/>
    <col min="15" max="16384" width="9.140625" style="36"/>
  </cols>
  <sheetData>
    <row r="1" spans="2:5" ht="13.5" customHeight="1" x14ac:dyDescent="0.3"/>
    <row r="2" spans="2:5" ht="18.75" x14ac:dyDescent="0.3">
      <c r="B2" s="37" t="s">
        <v>362</v>
      </c>
    </row>
    <row r="3" spans="2:5" x14ac:dyDescent="0.3">
      <c r="B3" s="117" t="s">
        <v>380</v>
      </c>
    </row>
    <row r="4" spans="2:5" x14ac:dyDescent="0.3">
      <c r="C4" s="36" t="s">
        <v>375</v>
      </c>
    </row>
    <row r="5" spans="2:5" ht="18.75" customHeight="1" x14ac:dyDescent="0.3">
      <c r="D5" s="96" t="s">
        <v>308</v>
      </c>
    </row>
    <row r="6" spans="2:5" ht="30" customHeight="1" x14ac:dyDescent="0.3">
      <c r="D6" s="96" t="s">
        <v>381</v>
      </c>
    </row>
    <row r="7" spans="2:5" ht="30" customHeight="1" x14ac:dyDescent="0.3">
      <c r="C7" s="44"/>
      <c r="D7" s="96" t="s">
        <v>382</v>
      </c>
    </row>
    <row r="8" spans="2:5" x14ac:dyDescent="0.3">
      <c r="C8" s="44" t="s">
        <v>349</v>
      </c>
      <c r="D8" s="73">
        <f>'3'!C23/200</f>
        <v>7.5</v>
      </c>
      <c r="E8" s="36" t="s">
        <v>408</v>
      </c>
    </row>
    <row r="9" spans="2:5" ht="18.75" x14ac:dyDescent="0.3">
      <c r="C9" s="44" t="s">
        <v>350</v>
      </c>
      <c r="D9" s="107">
        <f>'5'!I6</f>
        <v>6.0389042794773903E-4</v>
      </c>
      <c r="E9" s="36" t="s">
        <v>317</v>
      </c>
    </row>
    <row r="10" spans="2:5" ht="18" x14ac:dyDescent="0.35">
      <c r="C10" s="44" t="s">
        <v>318</v>
      </c>
      <c r="D10" s="69">
        <f>(IF('3'!C23&lt;='3'!C24,'3'!C23*'3'!C23/4,'3'!C24*(2*'3'!$C$23-'3'!$C$24)/4)+IF('3'!C23&lt;='3'!C25,'3'!C23*'3'!C23/4,'3'!C25*(2*'3'!$C$23-'3'!$C$25)/4))/'3'!C23</f>
        <v>578.18333333333328</v>
      </c>
      <c r="E10" s="36" t="s">
        <v>319</v>
      </c>
    </row>
    <row r="11" spans="2:5" x14ac:dyDescent="0.3">
      <c r="C11" s="44" t="s">
        <v>365</v>
      </c>
      <c r="D11" s="69">
        <f>B</f>
        <v>1500</v>
      </c>
      <c r="E11" s="36" t="s">
        <v>319</v>
      </c>
    </row>
    <row r="12" spans="2:5" ht="18.75" x14ac:dyDescent="0.3">
      <c r="C12" s="44" t="s">
        <v>351</v>
      </c>
      <c r="D12" s="69">
        <v>70000</v>
      </c>
      <c r="E12" s="36" t="s">
        <v>376</v>
      </c>
    </row>
    <row r="13" spans="2:5" ht="18.75" x14ac:dyDescent="0.3">
      <c r="C13" s="44" t="s">
        <v>383</v>
      </c>
      <c r="D13" s="102">
        <f>'3'!E22</f>
        <v>22.88</v>
      </c>
      <c r="E13" s="36" t="s">
        <v>353</v>
      </c>
    </row>
    <row r="14" spans="2:5" x14ac:dyDescent="0.3">
      <c r="C14" s="44" t="s">
        <v>327</v>
      </c>
      <c r="D14" s="71">
        <f>'5'!H31</f>
        <v>0.45</v>
      </c>
      <c r="E14" s="36" t="s">
        <v>328</v>
      </c>
    </row>
    <row r="15" spans="2:5" x14ac:dyDescent="0.3">
      <c r="C15" s="36" t="s">
        <v>384</v>
      </c>
    </row>
    <row r="16" spans="2:5" ht="30" customHeight="1" x14ac:dyDescent="0.3">
      <c r="D16" s="96" t="s">
        <v>385</v>
      </c>
    </row>
    <row r="17" spans="2:13" ht="30" customHeight="1" x14ac:dyDescent="0.3">
      <c r="C17" s="44"/>
      <c r="D17" s="96" t="s">
        <v>386</v>
      </c>
    </row>
    <row r="18" spans="2:13" x14ac:dyDescent="0.3">
      <c r="C18" s="36" t="s">
        <v>387</v>
      </c>
    </row>
    <row r="19" spans="2:13" ht="19.5" x14ac:dyDescent="0.35">
      <c r="C19" s="109" t="s">
        <v>357</v>
      </c>
      <c r="D19" s="110">
        <f>(IF('3'!C31="нет",0.013*D9*D10*B^4/(D12*D8),0.013*(D9*D10+D14)*B^4/(D12*D8)))/10000</f>
        <v>10.018033663936421</v>
      </c>
      <c r="E19" s="36" t="s">
        <v>353</v>
      </c>
    </row>
    <row r="21" spans="2:13" ht="18.75" x14ac:dyDescent="0.35">
      <c r="C21" s="44" t="s">
        <v>392</v>
      </c>
      <c r="D21" s="102">
        <f>IF('3'!C31="нет",0.013*D9*D10*D11^4/(D12*D13*10000),0.013*(D9*D10+'10'!D14)*D11^4/(D12*D13*10000))</f>
        <v>3.2838834125665719</v>
      </c>
      <c r="E21" s="41" t="str">
        <f>IF(D21&gt;=F21,"мм &gt;[f] =","мм &lt;[f] =")</f>
        <v>мм &lt;[f] =</v>
      </c>
      <c r="F21" s="102">
        <f>D8</f>
        <v>7.5</v>
      </c>
      <c r="G21" s="36" t="s">
        <v>319</v>
      </c>
      <c r="H21" s="165" t="str">
        <f>IF(D21&gt;F21,"Не удовлетворяет условию прогиба","Удовлетворяет условию прогиба")</f>
        <v>Удовлетворяет условию прогиба</v>
      </c>
      <c r="I21" s="166"/>
      <c r="J21" s="166"/>
      <c r="K21" s="166"/>
      <c r="L21" s="167"/>
      <c r="M21" s="113"/>
    </row>
    <row r="22" spans="2:13" x14ac:dyDescent="0.3">
      <c r="H22" s="104" t="s">
        <v>412</v>
      </c>
      <c r="I22" s="104"/>
      <c r="J22" s="104"/>
      <c r="K22" s="104"/>
      <c r="L22" s="105">
        <f>D21/F21</f>
        <v>0.43785112167554291</v>
      </c>
    </row>
    <row r="23" spans="2:13" x14ac:dyDescent="0.3">
      <c r="H23" s="104"/>
      <c r="I23" s="104"/>
      <c r="J23" s="104"/>
      <c r="K23" s="104"/>
      <c r="L23" s="105"/>
    </row>
    <row r="24" spans="2:13" x14ac:dyDescent="0.3">
      <c r="H24" s="104"/>
      <c r="I24" s="104"/>
      <c r="J24" s="104"/>
      <c r="K24" s="104"/>
      <c r="L24" s="105"/>
    </row>
    <row r="25" spans="2:13" x14ac:dyDescent="0.3">
      <c r="H25" s="104"/>
      <c r="I25" s="104"/>
      <c r="J25" s="104"/>
      <c r="K25" s="104"/>
      <c r="L25" s="105"/>
    </row>
    <row r="26" spans="2:13" x14ac:dyDescent="0.3">
      <c r="H26" s="104"/>
      <c r="I26" s="104"/>
      <c r="J26" s="104"/>
      <c r="K26" s="104"/>
      <c r="L26" s="105"/>
    </row>
    <row r="28" spans="2:13" x14ac:dyDescent="0.3">
      <c r="D28" s="96"/>
    </row>
    <row r="29" spans="2:13" x14ac:dyDescent="0.3">
      <c r="D29" s="96"/>
    </row>
    <row r="30" spans="2:13" x14ac:dyDescent="0.3">
      <c r="D30" s="96"/>
    </row>
    <row r="31" spans="2:13" ht="20.25" customHeight="1" x14ac:dyDescent="0.3">
      <c r="D31" s="96"/>
      <c r="M31" s="46" t="str">
        <f ca="1">MID(CELL("имяфайла",S53),SEARCH("]",CELL("имяфайла",S53))+1,255)&amp;"/11"</f>
        <v>10/11</v>
      </c>
    </row>
    <row r="32" spans="2:13" ht="30" customHeight="1" x14ac:dyDescent="0.3">
      <c r="B32" s="45"/>
      <c r="C32" s="45"/>
      <c r="D32" s="45"/>
      <c r="E32" s="45"/>
      <c r="F32" s="45"/>
      <c r="G32" s="45"/>
      <c r="H32" s="45"/>
      <c r="I32" s="45"/>
      <c r="J32" s="45"/>
      <c r="K32" s="45"/>
    </row>
  </sheetData>
  <sheetProtection password="C737" sheet="1" objects="1" scenarios="1"/>
  <mergeCells count="1">
    <mergeCell ref="H21:L21"/>
  </mergeCells>
  <conditionalFormatting sqref="H21:L21">
    <cfRule type="cellIs" dxfId="13" priority="5" operator="equal">
      <formula>"не удовлетворяет условию прогиба"</formula>
    </cfRule>
    <cfRule type="cellIs" dxfId="12" priority="6" operator="equal">
      <formula>"удовлетворяет условию прогиба"</formula>
    </cfRule>
  </conditionalFormatting>
  <conditionalFormatting sqref="M21">
    <cfRule type="expression" dxfId="11" priority="3">
      <formula>$M$21&lt;0</formula>
    </cfRule>
    <cfRule type="expression" dxfId="10" priority="4">
      <formula>$M$21&gt;0</formula>
    </cfRule>
  </conditionalFormatting>
  <conditionalFormatting sqref="L22:L26">
    <cfRule type="expression" dxfId="9" priority="1">
      <formula>$L$22&gt;1</formula>
    </cfRule>
    <cfRule type="expression" dxfId="8" priority="2">
      <formula>$L$22&lt;1</formula>
    </cfRule>
  </conditionalFormatting>
  <pageMargins left="0" right="0" top="0" bottom="0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1"/>
  <sheetViews>
    <sheetView view="pageBreakPreview" zoomScale="85" zoomScaleNormal="100" zoomScaleSheetLayoutView="85" workbookViewId="0">
      <selection activeCell="H9" sqref="H9"/>
    </sheetView>
  </sheetViews>
  <sheetFormatPr defaultRowHeight="16.5" x14ac:dyDescent="0.3"/>
  <cols>
    <col min="1" max="1" width="10.140625" style="36" customWidth="1"/>
    <col min="2" max="2" width="9.140625" style="36"/>
    <col min="3" max="3" width="29.42578125" style="36" customWidth="1"/>
    <col min="4" max="4" width="11.7109375" style="36" bestFit="1" customWidth="1"/>
    <col min="5" max="7" width="9.140625" style="36"/>
    <col min="8" max="12" width="8.7109375" style="36" customWidth="1"/>
    <col min="13" max="13" width="15" style="36" customWidth="1"/>
    <col min="14" max="14" width="2.42578125" style="36" customWidth="1"/>
    <col min="15" max="16384" width="9.140625" style="36"/>
  </cols>
  <sheetData>
    <row r="1" spans="2:5" ht="13.5" customHeight="1" x14ac:dyDescent="0.3"/>
    <row r="2" spans="2:5" ht="18.75" x14ac:dyDescent="0.3">
      <c r="B2" s="37" t="s">
        <v>362</v>
      </c>
    </row>
    <row r="3" spans="2:5" x14ac:dyDescent="0.3">
      <c r="B3" s="117" t="s">
        <v>388</v>
      </c>
    </row>
    <row r="4" spans="2:5" ht="18.75" x14ac:dyDescent="0.3">
      <c r="B4" s="37"/>
      <c r="C4" s="36" t="s">
        <v>375</v>
      </c>
    </row>
    <row r="5" spans="2:5" ht="18.75" x14ac:dyDescent="0.3">
      <c r="B5" s="37"/>
      <c r="D5" s="96" t="s">
        <v>308</v>
      </c>
    </row>
    <row r="6" spans="2:5" ht="33.75" customHeight="1" x14ac:dyDescent="0.3">
      <c r="B6" s="37"/>
      <c r="D6" s="96" t="s">
        <v>389</v>
      </c>
    </row>
    <row r="7" spans="2:5" ht="33.75" customHeight="1" x14ac:dyDescent="0.3">
      <c r="B7" s="37"/>
      <c r="D7" s="96" t="s">
        <v>390</v>
      </c>
    </row>
    <row r="8" spans="2:5" x14ac:dyDescent="0.3">
      <c r="B8" s="117"/>
      <c r="C8" s="44" t="s">
        <v>349</v>
      </c>
      <c r="D8" s="71">
        <f>IF('3'!C9="структурный",2,5)</f>
        <v>5</v>
      </c>
      <c r="E8" s="36" t="s">
        <v>391</v>
      </c>
    </row>
    <row r="9" spans="2:5" x14ac:dyDescent="0.3">
      <c r="C9" s="44" t="s">
        <v>393</v>
      </c>
      <c r="D9" s="123">
        <f>IF('3'!C8="МП-50",VLOOKUP('3'!C22,ригели_МП50_ГХ[],9,FALSE),IF('3'!C8="МП-40",VLOOKUP('3'!C22,стойки_МП40_ГХ[],8,FALSE)))*0.00980655</f>
        <v>1.303290495E-2</v>
      </c>
      <c r="E9" s="36" t="s">
        <v>328</v>
      </c>
    </row>
    <row r="10" spans="2:5" x14ac:dyDescent="0.3">
      <c r="C10" s="44" t="s">
        <v>365</v>
      </c>
      <c r="D10" s="69">
        <f>B</f>
        <v>1500</v>
      </c>
      <c r="E10" s="36" t="s">
        <v>319</v>
      </c>
    </row>
    <row r="11" spans="2:5" ht="18.75" x14ac:dyDescent="0.3">
      <c r="C11" s="44" t="s">
        <v>351</v>
      </c>
      <c r="D11" s="69">
        <v>70000</v>
      </c>
      <c r="E11" s="36" t="s">
        <v>376</v>
      </c>
    </row>
    <row r="12" spans="2:5" ht="18.75" x14ac:dyDescent="0.3">
      <c r="C12" s="44" t="s">
        <v>394</v>
      </c>
      <c r="D12" s="102">
        <f>'3'!G22</f>
        <v>15.16</v>
      </c>
      <c r="E12" s="36" t="s">
        <v>353</v>
      </c>
    </row>
    <row r="13" spans="2:5" x14ac:dyDescent="0.3">
      <c r="C13" s="44" t="s">
        <v>370</v>
      </c>
      <c r="D13" s="71">
        <f>'3'!C11*'3'!C23*'3'!C24*24.517/1000000</f>
        <v>681.81777</v>
      </c>
      <c r="E13" s="36" t="s">
        <v>372</v>
      </c>
    </row>
    <row r="14" spans="2:5" x14ac:dyDescent="0.3">
      <c r="C14" s="44" t="s">
        <v>371</v>
      </c>
      <c r="D14" s="71">
        <f>D13/2</f>
        <v>340.908885</v>
      </c>
      <c r="E14" s="36" t="s">
        <v>372</v>
      </c>
    </row>
    <row r="15" spans="2:5" x14ac:dyDescent="0.3">
      <c r="C15" s="112" t="s">
        <v>373</v>
      </c>
      <c r="D15" s="41">
        <f>'3'!C26</f>
        <v>100</v>
      </c>
      <c r="E15" s="36" t="s">
        <v>374</v>
      </c>
    </row>
    <row r="16" spans="2:5" x14ac:dyDescent="0.3">
      <c r="C16" s="36" t="s">
        <v>395</v>
      </c>
    </row>
    <row r="17" spans="2:13" ht="37.5" customHeight="1" x14ac:dyDescent="0.3"/>
    <row r="18" spans="2:13" ht="19.5" x14ac:dyDescent="0.35">
      <c r="C18" s="44" t="s">
        <v>396</v>
      </c>
      <c r="D18" s="102">
        <f>(0.013*D9*D10^4/(D11*D8)+D14*D10^3/(24*D11*D8)*(3*D15/D10-4*D15^3/D10^3))/10000</f>
        <v>2.9682778000419643</v>
      </c>
      <c r="E18" s="36" t="s">
        <v>353</v>
      </c>
    </row>
    <row r="20" spans="2:13" ht="18" x14ac:dyDescent="0.35">
      <c r="C20" s="44" t="s">
        <v>398</v>
      </c>
      <c r="D20" s="110">
        <f>0.013*D9*D10^4/(D11*D12*10000)</f>
        <v>8.0826239824903418E-2</v>
      </c>
      <c r="E20" s="36" t="s">
        <v>319</v>
      </c>
    </row>
    <row r="21" spans="2:13" ht="18" x14ac:dyDescent="0.35">
      <c r="C21" s="44" t="s">
        <v>397</v>
      </c>
      <c r="D21" s="110">
        <f>D14*D10^3/(24*D11*D12*10000)*(3*D15/D10-4*D15^3/D10^3)</f>
        <v>0.89815720346070504</v>
      </c>
      <c r="E21" s="36" t="s">
        <v>319</v>
      </c>
    </row>
    <row r="22" spans="2:13" ht="18.75" x14ac:dyDescent="0.35">
      <c r="C22" s="44" t="s">
        <v>392</v>
      </c>
      <c r="D22" s="102">
        <f>D20+D21</f>
        <v>0.97898344328560849</v>
      </c>
      <c r="E22" s="41" t="str">
        <f>IF(D22&gt;=F22,"мм &gt;[f] =","мм &lt;[f] =")</f>
        <v>мм &lt;[f] =</v>
      </c>
      <c r="F22" s="102">
        <f>D8</f>
        <v>5</v>
      </c>
      <c r="G22" s="36" t="s">
        <v>319</v>
      </c>
      <c r="H22" s="165" t="str">
        <f>IF(D22&gt;F22,"Не удовлетворяет условию прогиба","Удовлетворяет условию прогиба")</f>
        <v>Удовлетворяет условию прогиба</v>
      </c>
      <c r="I22" s="166"/>
      <c r="J22" s="166"/>
      <c r="K22" s="166"/>
      <c r="L22" s="167"/>
      <c r="M22" s="113"/>
    </row>
    <row r="23" spans="2:13" ht="18" x14ac:dyDescent="0.35">
      <c r="C23" s="109"/>
      <c r="D23" s="110"/>
      <c r="H23" s="104" t="s">
        <v>412</v>
      </c>
      <c r="I23" s="104"/>
      <c r="J23" s="104"/>
      <c r="K23" s="104"/>
      <c r="L23" s="105">
        <f>D22/F22</f>
        <v>0.19579668865712169</v>
      </c>
    </row>
    <row r="24" spans="2:13" ht="18.75" x14ac:dyDescent="0.3">
      <c r="B24" s="37" t="s">
        <v>409</v>
      </c>
      <c r="C24" s="44"/>
      <c r="D24" s="102"/>
      <c r="E24" s="41"/>
      <c r="F24" s="102"/>
      <c r="H24" s="96"/>
    </row>
    <row r="25" spans="2:13" ht="16.5" customHeight="1" x14ac:dyDescent="0.3">
      <c r="B25" s="161" t="s">
        <v>459</v>
      </c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</row>
    <row r="26" spans="2:13" x14ac:dyDescent="0.3"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</row>
    <row r="27" spans="2:13" x14ac:dyDescent="0.3"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</row>
    <row r="28" spans="2:13" ht="19.5" customHeight="1" x14ac:dyDescent="0.3">
      <c r="B28" s="161" t="str">
        <f>IF(AND('7'!G21="Удовлетворяет условию прочности",'8'!H27="Удовлетворяет условию прогиба",'9'!G29="Удовлетворяет условию прочности",'10'!H21="Удовлетворяет условию прогиба",'11'!H22="Удовлетворяет условию прогиба"),"Из результатов расчета следует, что жесткостные характеристики профилей достаточны"&amp;" - перемещения и напряжения в конструкции не превышают допустимые при условии соблюдения всех рекомендаций и требований по сборке и монтажу конструкций.","Из результатов расчета следует, что жесткостные и геометрические характеристики профилей недостаточны, необходимо рассмотреть возможность применения других профилей и выполнить перерасчет.")</f>
        <v>Из результатов расчета следует, что жесткостные и геометрические характеристики профилей недостаточны, необходимо рассмотреть возможность применения других профилей и выполнить перерасчет.</v>
      </c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  <row r="29" spans="2:13" x14ac:dyDescent="0.3">
      <c r="B29" s="161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</row>
    <row r="30" spans="2:13" ht="27" customHeight="1" x14ac:dyDescent="0.3">
      <c r="M30" s="46" t="str">
        <f ca="1">MID(CELL("имяфайла",T47),SEARCH("]",CELL("имяфайла",T47))+1,255)&amp;"/11"</f>
        <v>11/11</v>
      </c>
    </row>
    <row r="31" spans="2:13" ht="30" customHeight="1" x14ac:dyDescent="0.3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</row>
  </sheetData>
  <sheetProtection password="C737" sheet="1" objects="1" scenarios="1"/>
  <mergeCells count="3">
    <mergeCell ref="H22:L22"/>
    <mergeCell ref="B25:M27"/>
    <mergeCell ref="B28:M29"/>
  </mergeCells>
  <conditionalFormatting sqref="H24">
    <cfRule type="cellIs" dxfId="7" priority="11" operator="equal">
      <formula>"не удовлетворяет условию прочности"</formula>
    </cfRule>
    <cfRule type="cellIs" dxfId="6" priority="12" operator="equal">
      <formula>"удовлетворяет условию прочности"</formula>
    </cfRule>
  </conditionalFormatting>
  <conditionalFormatting sqref="H22:L22">
    <cfRule type="cellIs" dxfId="5" priority="5" operator="equal">
      <formula>"не удовлетворяет условию прогиба"</formula>
    </cfRule>
    <cfRule type="cellIs" dxfId="4" priority="6" operator="equal">
      <formula>"удовлетворяет условию прогиба"</formula>
    </cfRule>
  </conditionalFormatting>
  <conditionalFormatting sqref="M22">
    <cfRule type="expression" dxfId="3" priority="3">
      <formula>$M$22&lt;0</formula>
    </cfRule>
    <cfRule type="expression" dxfId="2" priority="4">
      <formula>$M$22&gt;0</formula>
    </cfRule>
  </conditionalFormatting>
  <conditionalFormatting sqref="L23">
    <cfRule type="expression" dxfId="1" priority="1">
      <formula>$L$23&gt;1</formula>
    </cfRule>
    <cfRule type="expression" dxfId="0" priority="2">
      <formula>$L$23&lt;1</formula>
    </cfRule>
  </conditionalFormatting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23</vt:i4>
      </vt:variant>
    </vt:vector>
  </HeadingPairs>
  <TitlesOfParts>
    <vt:vector size="36" baseType="lpstr">
      <vt:lpstr>Данные</vt:lpstr>
      <vt:lpstr>ГХ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B</vt:lpstr>
      <vt:lpstr>H</vt:lpstr>
      <vt:lpstr>'11'!Город</vt:lpstr>
      <vt:lpstr>'6'!Город</vt:lpstr>
      <vt:lpstr>'7'!Город</vt:lpstr>
      <vt:lpstr>Город</vt:lpstr>
      <vt:lpstr>импосты_МП50</vt:lpstr>
      <vt:lpstr>'1'!Область_печати</vt:lpstr>
      <vt:lpstr>'10'!Область_печати</vt:lpstr>
      <vt:lpstr>'11'!Область_печати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'9'!Область_печати</vt:lpstr>
      <vt:lpstr>ригели_МП50</vt:lpstr>
      <vt:lpstr>стойки_МП40</vt:lpstr>
      <vt:lpstr>стойки_МП50</vt:lpstr>
      <vt:lpstr>тип_местности</vt:lpstr>
      <vt:lpstr>участок_стены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Алмас Ф. Муллануров</dc:creator>
  <cp:lastModifiedBy>Егор Д. Батраков</cp:lastModifiedBy>
  <cp:lastPrinted>2026-03-06T13:01:11Z</cp:lastPrinted>
  <dcterms:created xsi:type="dcterms:W3CDTF">2021-06-12T16:20:09Z</dcterms:created>
  <dcterms:modified xsi:type="dcterms:W3CDTF">2026-09-23T04:51:42Z</dcterms:modified>
</cp:coreProperties>
</file>